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76" windowHeight="6336" activeTab="0"/>
  </bookViews>
  <sheets>
    <sheet name="DTA Calculator for NRP" sheetId="1" r:id="rId1"/>
  </sheets>
  <definedNames>
    <definedName name="_xlfn.GAMMA" hidden="1">#NAME?</definedName>
    <definedName name="_xlfn.IFERROR" hidden="1">#NAME?</definedName>
    <definedName name="_xlfn.IFNA" hidden="1">#NAME?</definedName>
    <definedName name="_xlfn.IFS" hidden="1">#NAME?</definedName>
    <definedName name="_xlnm.Print_Area" localSheetId="0">'DTA Calculator for NRP'!$C$3:$N$96</definedName>
  </definedNames>
  <calcPr fullCalcOnLoad="1"/>
</workbook>
</file>

<file path=xl/comments1.xml><?xml version="1.0" encoding="utf-8"?>
<comments xmlns="http://schemas.openxmlformats.org/spreadsheetml/2006/main">
  <authors>
    <author>inllzad</author>
    <author>Margaret HONG (IRAS)</author>
    <author>Loh Zhiqi</author>
  </authors>
  <commentList>
    <comment ref="AJ269" authorId="0">
      <text>
        <r>
          <rPr>
            <b/>
            <sz val="9"/>
            <rFont val="Tahoma"/>
            <family val="2"/>
          </rPr>
          <t>LZ:</t>
        </r>
        <r>
          <rPr>
            <sz val="9"/>
            <rFont val="Tahoma"/>
            <family val="2"/>
          </rPr>
          <t xml:space="preserve">
fyi: the wording in the treaty is ".. aggregate 9 months .." and not "270 days".</t>
        </r>
      </text>
    </comment>
    <comment ref="AC370" authorId="1">
      <text>
        <r>
          <rPr>
            <b/>
            <sz val="9"/>
            <rFont val="Tahoma"/>
            <family val="2"/>
          </rPr>
          <t xml:space="preserve">Russia </t>
        </r>
        <r>
          <rPr>
            <sz val="9"/>
            <rFont val="Tahoma"/>
            <family val="2"/>
          </rPr>
          <t>for 2017/2018</t>
        </r>
        <r>
          <rPr>
            <b/>
            <sz val="9"/>
            <rFont val="Tahoma"/>
            <family val="2"/>
          </rPr>
          <t>:</t>
        </r>
        <r>
          <rPr>
            <sz val="9"/>
            <rFont val="Tahoma"/>
            <family val="2"/>
          </rPr>
          <t xml:space="preserve">
Moving 12-mths, 
chg from 90 to 183 days
</t>
        </r>
        <r>
          <rPr>
            <b/>
            <sz val="9"/>
            <rFont val="Tahoma"/>
            <family val="2"/>
          </rPr>
          <t>UAE</t>
        </r>
        <r>
          <rPr>
            <sz val="9"/>
            <rFont val="Tahoma"/>
            <family val="2"/>
          </rPr>
          <t xml:space="preserve"> for 2017/2018</t>
        </r>
        <r>
          <rPr>
            <b/>
            <sz val="9"/>
            <rFont val="Tahoma"/>
            <family val="2"/>
          </rPr>
          <t>:</t>
        </r>
        <r>
          <rPr>
            <sz val="9"/>
            <rFont val="Tahoma"/>
            <family val="2"/>
          </rPr>
          <t xml:space="preserve">
Calendar basis, 
chg frm 183 to 300 days
</t>
        </r>
        <r>
          <rPr>
            <b/>
            <sz val="9"/>
            <rFont val="Tahoma"/>
            <family val="2"/>
          </rPr>
          <t>Indonesia</t>
        </r>
        <r>
          <rPr>
            <sz val="9"/>
            <rFont val="Tahoma"/>
            <family val="2"/>
          </rPr>
          <t xml:space="preserve"> for 2021/2022:
Moving 12-mths, chg frm 90 to 89 days.</t>
        </r>
      </text>
    </comment>
    <comment ref="AE242" authorId="2">
      <text>
        <r>
          <rPr>
            <b/>
            <sz val="8"/>
            <rFont val="Tahoma"/>
            <family val="2"/>
          </rPr>
          <t>LZ:</t>
        </r>
        <r>
          <rPr>
            <sz val="8"/>
            <rFont val="Tahoma"/>
            <family val="2"/>
          </rPr>
          <t xml:space="preserve">
Taxable due to Article 13</t>
        </r>
      </text>
    </comment>
    <comment ref="AE263" authorId="2">
      <text>
        <r>
          <rPr>
            <b/>
            <sz val="8"/>
            <rFont val="Tahoma"/>
            <family val="2"/>
          </rPr>
          <t>LZ:</t>
        </r>
        <r>
          <rPr>
            <sz val="8"/>
            <rFont val="Tahoma"/>
            <family val="2"/>
          </rPr>
          <t xml:space="preserve">
Taxable due to Article 13</t>
        </r>
      </text>
    </comment>
    <comment ref="AB135" authorId="1">
      <text>
        <r>
          <rPr>
            <b/>
            <sz val="9"/>
            <rFont val="Tahoma"/>
            <family val="2"/>
          </rPr>
          <t>MH:</t>
        </r>
        <r>
          <rPr>
            <sz val="9"/>
            <rFont val="Tahoma"/>
            <family val="2"/>
          </rPr>
          <t xml:space="preserve">
Results D52</t>
        </r>
      </text>
    </comment>
    <comment ref="AB136" authorId="1">
      <text>
        <r>
          <rPr>
            <b/>
            <sz val="9"/>
            <rFont val="Tahoma"/>
            <family val="2"/>
          </rPr>
          <t>MH:</t>
        </r>
        <r>
          <rPr>
            <sz val="9"/>
            <rFont val="Tahoma"/>
            <family val="2"/>
          </rPr>
          <t xml:space="preserve">
Results D53</t>
        </r>
      </text>
    </comment>
    <comment ref="AB134" authorId="1">
      <text>
        <r>
          <rPr>
            <b/>
            <sz val="9"/>
            <rFont val="Tahoma"/>
            <family val="2"/>
          </rPr>
          <t>MH:</t>
        </r>
        <r>
          <rPr>
            <sz val="9"/>
            <rFont val="Tahoma"/>
            <family val="2"/>
          </rPr>
          <t xml:space="preserve">
Results - D54
WHT required default scenario</t>
        </r>
      </text>
    </comment>
    <comment ref="X108" authorId="1">
      <text>
        <r>
          <rPr>
            <b/>
            <sz val="9"/>
            <rFont val="Tahoma"/>
            <family val="2"/>
          </rPr>
          <t>MH:</t>
        </r>
        <r>
          <rPr>
            <sz val="9"/>
            <rFont val="Tahoma"/>
            <family val="2"/>
          </rPr>
          <t xml:space="preserve">
Margaret:
New treaty
Old treaty
Mixed</t>
        </r>
      </text>
    </comment>
    <comment ref="Y102" authorId="1">
      <text>
        <r>
          <rPr>
            <b/>
            <sz val="9"/>
            <rFont val="Tahoma"/>
            <family val="2"/>
          </rPr>
          <t>MH:</t>
        </r>
        <r>
          <rPr>
            <sz val="9"/>
            <rFont val="Tahoma"/>
            <family val="2"/>
          </rPr>
          <t xml:space="preserve">
3rd choice as it only accommodates short phrases
Priority:
1. Fixed base
2. Income
3. Previous condition</t>
        </r>
      </text>
    </comment>
    <comment ref="Y103" authorId="1">
      <text>
        <r>
          <rPr>
            <b/>
            <sz val="9"/>
            <rFont val="Tahoma"/>
            <family val="2"/>
          </rPr>
          <t>MH:</t>
        </r>
        <r>
          <rPr>
            <sz val="9"/>
            <rFont val="Tahoma"/>
            <family val="2"/>
          </rPr>
          <t xml:space="preserve">
2nd choice since it accommodates longer phrases
Priority:
1. Phys presence
2. Fixed base
3. Income
4. Previous version</t>
        </r>
      </text>
    </comment>
    <comment ref="Y101" authorId="1">
      <text>
        <r>
          <rPr>
            <b/>
            <sz val="9"/>
            <rFont val="Tahoma"/>
            <family val="2"/>
          </rPr>
          <t>MH:</t>
        </r>
        <r>
          <rPr>
            <sz val="9"/>
            <rFont val="Tahoma"/>
            <family val="2"/>
          </rPr>
          <t xml:space="preserve">
Priority:
1. Effective Date reason
2. Phys Presence reason
3. Fixed base
4. Income</t>
        </r>
      </text>
    </comment>
    <comment ref="Z108" authorId="1">
      <text>
        <r>
          <rPr>
            <b/>
            <sz val="9"/>
            <rFont val="Tahoma"/>
            <family val="2"/>
          </rPr>
          <t>MH:</t>
        </r>
        <r>
          <rPr>
            <sz val="9"/>
            <rFont val="Tahoma"/>
            <family val="2"/>
          </rPr>
          <t xml:space="preserve">
For new countries, "effective date is from …"
For revised treaties, apply customised reason instead.
Both don't overlap (either new or revised)</t>
        </r>
      </text>
    </comment>
    <comment ref="W109" authorId="1">
      <text>
        <r>
          <rPr>
            <b/>
            <sz val="9"/>
            <rFont val="Tahoma"/>
            <family val="2"/>
          </rPr>
          <t>MH:</t>
        </r>
        <r>
          <rPr>
            <sz val="9"/>
            <rFont val="Tahoma"/>
            <family val="2"/>
          </rPr>
          <t xml:space="preserve">
No exemption under DTA.
TP may qualify for reduced tax rate IF conditions are met.</t>
        </r>
      </text>
    </comment>
    <comment ref="AE205" authorId="2">
      <text>
        <r>
          <rPr>
            <b/>
            <sz val="8"/>
            <rFont val="Tahoma"/>
            <family val="2"/>
          </rPr>
          <t>LZ:</t>
        </r>
        <r>
          <rPr>
            <sz val="8"/>
            <rFont val="Tahoma"/>
            <family val="2"/>
          </rPr>
          <t xml:space="preserve">
Taxable due to Article 13</t>
        </r>
      </text>
    </comment>
    <comment ref="AB374" authorId="1">
      <text>
        <r>
          <rPr>
            <b/>
            <sz val="9"/>
            <rFont val="Tahoma"/>
            <family val="2"/>
          </rPr>
          <t>05/04/2022:</t>
        </r>
        <r>
          <rPr>
            <sz val="9"/>
            <rFont val="Tahoma"/>
            <family val="2"/>
          </rPr>
          <t xml:space="preserve">
Transition year hard-coded to avoid wrong results if not removed</t>
        </r>
      </text>
    </comment>
  </commentList>
</comments>
</file>

<file path=xl/sharedStrings.xml><?xml version="1.0" encoding="utf-8"?>
<sst xmlns="http://schemas.openxmlformats.org/spreadsheetml/2006/main" count="577" uniqueCount="345">
  <si>
    <t/>
  </si>
  <si>
    <t>&gt;&gt;</t>
  </si>
  <si>
    <t>Indonesia</t>
  </si>
  <si>
    <t>Section 2</t>
  </si>
  <si>
    <t>a.</t>
  </si>
  <si>
    <t>Do you maintain a fixed base* in Singapore</t>
  </si>
  <si>
    <t>* e.g. a place of management, a branch, an office</t>
  </si>
  <si>
    <t>Section 3</t>
  </si>
  <si>
    <t xml:space="preserve"> </t>
  </si>
  <si>
    <t>From</t>
  </si>
  <si>
    <t>To</t>
  </si>
  <si>
    <t>To (moving)</t>
  </si>
  <si>
    <t>Last Year:</t>
  </si>
  <si>
    <t>Current Year:</t>
  </si>
  <si>
    <t>For Validation:</t>
  </si>
  <si>
    <t>to</t>
  </si>
  <si>
    <t>Current date:</t>
  </si>
  <si>
    <t>Error from start</t>
  </si>
  <si>
    <t>Error in line</t>
  </si>
  <si>
    <t>Relevant</t>
  </si>
  <si>
    <t>Go Forward</t>
  </si>
  <si>
    <t>Go Backward</t>
  </si>
  <si>
    <t>Calendar Year days</t>
  </si>
  <si>
    <t>From Date</t>
  </si>
  <si>
    <t>To Date</t>
  </si>
  <si>
    <t>Engagement 6</t>
  </si>
  <si>
    <t>Engagement 7</t>
  </si>
  <si>
    <t>Engagement 8</t>
  </si>
  <si>
    <t>Engagement 9</t>
  </si>
  <si>
    <t>Engagement 10</t>
  </si>
  <si>
    <t>Highest</t>
  </si>
  <si>
    <t>Total</t>
  </si>
  <si>
    <t>a)  Particulars of the Payer        b)  Details of income received for this visit and visits for the prior calendar year</t>
  </si>
  <si>
    <t xml:space="preserve">PART 1: PARTICULARS OF NON-RESIDENT PROFESSIONAL </t>
  </si>
  <si>
    <t>FIN / Passport No.:</t>
  </si>
  <si>
    <t>Date of Birth:</t>
  </si>
  <si>
    <t>Mailing Address:</t>
  </si>
  <si>
    <t>Country of Residence:</t>
  </si>
  <si>
    <t>Email:</t>
  </si>
  <si>
    <t xml:space="preserve">PART 2 : DECLARATION BY NON-RESIDENT PROFESSIONAL </t>
  </si>
  <si>
    <t xml:space="preserve">I, </t>
  </si>
  <si>
    <t>Gross Income
(S$)</t>
  </si>
  <si>
    <t>Name</t>
  </si>
  <si>
    <t>Signature of NRP</t>
  </si>
  <si>
    <t>Date</t>
  </si>
  <si>
    <t>Telephone No.</t>
  </si>
  <si>
    <t>There are penalties for furnishing an incorrect form.</t>
  </si>
  <si>
    <t>Taxable Reasons</t>
  </si>
  <si>
    <t>Results table (presented to TP):</t>
  </si>
  <si>
    <t>Instructions table (presented to TP):</t>
  </si>
  <si>
    <t>Important notes:</t>
  </si>
  <si>
    <t>Line 2</t>
  </si>
  <si>
    <t>1.</t>
  </si>
  <si>
    <t>Line 3</t>
  </si>
  <si>
    <t>2.</t>
  </si>
  <si>
    <t>If Calendar basis:</t>
  </si>
  <si>
    <t>No. of taxable reasons:</t>
  </si>
  <si>
    <t>3.</t>
  </si>
  <si>
    <t>55 Newton Road, Revenue House, Singapore 307987.</t>
  </si>
  <si>
    <t>Results Table (Sample messages when taxable):</t>
  </si>
  <si>
    <t>Calendar / Moving</t>
  </si>
  <si>
    <t>Calendar</t>
  </si>
  <si>
    <t>Moving</t>
  </si>
  <si>
    <t>Messages used in this Calculator:</t>
  </si>
  <si>
    <t>Results</t>
  </si>
  <si>
    <t>Withholding tax applies - the payer must remit the tax withheld together with the Form IR37C.</t>
  </si>
  <si>
    <t>Click here to find out more about withholding tax</t>
  </si>
  <si>
    <t>Questions to answer</t>
  </si>
  <si>
    <t>To qualify for tax exemption, you must not have a fixed base in Singapore.</t>
  </si>
  <si>
    <t xml:space="preserve">   Section 2</t>
  </si>
  <si>
    <t xml:space="preserve">   Section 3</t>
  </si>
  <si>
    <t xml:space="preserve">Your physical presence in Singapore </t>
  </si>
  <si>
    <t>you have a fixed base in Singapore</t>
  </si>
  <si>
    <t>Error</t>
  </si>
  <si>
    <t>Do not skip any row</t>
  </si>
  <si>
    <t>(Required Section)</t>
  </si>
  <si>
    <t>This section is not required</t>
  </si>
  <si>
    <t>Others</t>
  </si>
  <si>
    <t>(Required Field)</t>
  </si>
  <si>
    <t>Message</t>
  </si>
  <si>
    <t>Countries</t>
  </si>
  <si>
    <t>Conditions</t>
  </si>
  <si>
    <t>Cost borne by Singapore  entity</t>
  </si>
  <si>
    <t>No fixed base</t>
  </si>
  <si>
    <t>No. days in moving/ calendar.</t>
  </si>
  <si>
    <t>Basis</t>
  </si>
  <si>
    <t>Questions to answer.</t>
  </si>
  <si>
    <t>Australia</t>
  </si>
  <si>
    <t>Taxable</t>
  </si>
  <si>
    <t>Austria</t>
  </si>
  <si>
    <t>Exempt</t>
  </si>
  <si>
    <t>Bahrain</t>
  </si>
  <si>
    <t>Bangladesh</t>
  </si>
  <si>
    <t>Belgium</t>
  </si>
  <si>
    <t>Brunei</t>
  </si>
  <si>
    <t>Bulgaria</t>
  </si>
  <si>
    <t>Canada</t>
  </si>
  <si>
    <t>China</t>
  </si>
  <si>
    <t>Cyprus</t>
  </si>
  <si>
    <t>Czech Republic</t>
  </si>
  <si>
    <t>Denmark</t>
  </si>
  <si>
    <t>Egypt</t>
  </si>
  <si>
    <t>Estonia</t>
  </si>
  <si>
    <t>Fiji</t>
  </si>
  <si>
    <t>Finland</t>
  </si>
  <si>
    <t>France</t>
  </si>
  <si>
    <t>Germany</t>
  </si>
  <si>
    <t>Hong Kong</t>
  </si>
  <si>
    <t>Hungary</t>
  </si>
  <si>
    <t>India</t>
  </si>
  <si>
    <t>Israel</t>
  </si>
  <si>
    <t>Italy</t>
  </si>
  <si>
    <t>Japan</t>
  </si>
  <si>
    <t>Kazakhstan</t>
  </si>
  <si>
    <t>South Korea</t>
  </si>
  <si>
    <t>Kuwait</t>
  </si>
  <si>
    <t>Latvia</t>
  </si>
  <si>
    <t>Lithuania</t>
  </si>
  <si>
    <t>Luxembourg</t>
  </si>
  <si>
    <t>Malaysia</t>
  </si>
  <si>
    <t>Malta</t>
  </si>
  <si>
    <t>Mauritius</t>
  </si>
  <si>
    <t>Mexico</t>
  </si>
  <si>
    <t>Mongolia</t>
  </si>
  <si>
    <t>Netherlands</t>
  </si>
  <si>
    <t>New Zealand</t>
  </si>
  <si>
    <t>Norway</t>
  </si>
  <si>
    <t>Oman</t>
  </si>
  <si>
    <t>Pakistan</t>
  </si>
  <si>
    <t>Papua New Guinea</t>
  </si>
  <si>
    <t>PGK15,000</t>
  </si>
  <si>
    <t>Philippines</t>
  </si>
  <si>
    <t>Portugal</t>
  </si>
  <si>
    <t>Qatar</t>
  </si>
  <si>
    <t>Romania</t>
  </si>
  <si>
    <t>Slovak Republic</t>
  </si>
  <si>
    <t>South Africa</t>
  </si>
  <si>
    <t>Sri Lanka</t>
  </si>
  <si>
    <t>Sweden</t>
  </si>
  <si>
    <t>Switzerland</t>
  </si>
  <si>
    <t>Taiwan</t>
  </si>
  <si>
    <t>Thailand</t>
  </si>
  <si>
    <t>Turkey</t>
  </si>
  <si>
    <t>Ukraine</t>
  </si>
  <si>
    <t>United Arab Emirates</t>
  </si>
  <si>
    <t>United Kingdom</t>
  </si>
  <si>
    <t>United States of America</t>
  </si>
  <si>
    <t>Uzbekistan</t>
  </si>
  <si>
    <t>Vietnam</t>
  </si>
  <si>
    <t>Result</t>
  </si>
  <si>
    <t>Other Overriding  Conditions</t>
  </si>
  <si>
    <t>1st calendar year</t>
  </si>
  <si>
    <t>2nd calendar year</t>
  </si>
  <si>
    <t>concatenate</t>
  </si>
  <si>
    <t>Other Overriding Conditions</t>
  </si>
  <si>
    <t>YEAR 1</t>
  </si>
  <si>
    <t>YEAR 2</t>
  </si>
  <si>
    <t>concatentate table</t>
  </si>
  <si>
    <t>message</t>
  </si>
  <si>
    <t>First Line</t>
  </si>
  <si>
    <t>Not entered</t>
  </si>
  <si>
    <t>your income is paid by a Singapore entity</t>
  </si>
  <si>
    <t>knowledge and belief, a true and correct account of my income accrued in, derived from or received in Singapore.</t>
  </si>
  <si>
    <t>Please answer question 2b.</t>
  </si>
  <si>
    <t>Please answer question 2a.</t>
  </si>
  <si>
    <t>The Comptroller of Income Tax reserves the right to determine whether the Non-Resident Professional (NRP) qualifies for exemption.</t>
  </si>
  <si>
    <t>declare that the information furnished above are to the best of my</t>
  </si>
  <si>
    <t>Please complete section 3.</t>
  </si>
  <si>
    <t>Please answer question 2b and complete section 3.</t>
  </si>
  <si>
    <t>(If overlap exists)</t>
  </si>
  <si>
    <t>Dates to be populated</t>
  </si>
  <si>
    <t>Overlap has occurred</t>
  </si>
  <si>
    <t>It may take you about 5 minutes to fill in the information in the shaded fields below.</t>
  </si>
  <si>
    <t>None - Limited Treaty</t>
  </si>
  <si>
    <t>None - Confirmed taxable by other articles</t>
  </si>
  <si>
    <t>You are subject to tax under the provision of Article 13.</t>
  </si>
  <si>
    <t>Please answer question 2a and complete section 3.</t>
  </si>
  <si>
    <t>Please answer questions 2a, 2b and complete section 3.</t>
  </si>
  <si>
    <t>Please answer questions 2a and 2b.</t>
  </si>
  <si>
    <t>None - Assume Cost Borne</t>
  </si>
  <si>
    <t>You do not qualify for tax exemption as your income is borne/paid by a Singapore entity.</t>
  </si>
  <si>
    <t>Tax Reference No. of Payer</t>
  </si>
  <si>
    <t>Chile</t>
  </si>
  <si>
    <t>Ireland</t>
  </si>
  <si>
    <t>Georgia</t>
  </si>
  <si>
    <t>Libya</t>
  </si>
  <si>
    <t>Myanmar</t>
  </si>
  <si>
    <t>USD12,000</t>
  </si>
  <si>
    <t>Slovenia</t>
  </si>
  <si>
    <t>Albania</t>
  </si>
  <si>
    <t>Panama</t>
  </si>
  <si>
    <t>Saudi Arabia</t>
  </si>
  <si>
    <t>Spain</t>
  </si>
  <si>
    <t>References hardcoded into cells above for:</t>
  </si>
  <si>
    <t>Description of checks and corresponding results</t>
  </si>
  <si>
    <t>Cells edited</t>
  </si>
  <si>
    <t>Check</t>
  </si>
  <si>
    <t>- Your income is borne/paid by a Singapore entity.</t>
  </si>
  <si>
    <t>1) if schedule of physical presence only consist of before 2013, results = No need for overriding, as per matrix results.</t>
  </si>
  <si>
    <t>2) if schedule of physical presence only consist of 2013 onwards, results = Check no. days by calendar period for 2013, to determine if exemption may be granted.</t>
  </si>
  <si>
    <t>D47, D50, AN234
I73:I77, K72:K77</t>
  </si>
  <si>
    <t>3) if schedule of physical presence of latest engagement overlaps both old and new treaties, results = show matrix results under old treaty but include line for 2013 to check 2013 based on calendar basis (presentation similar to calendar year style).</t>
  </si>
  <si>
    <t>Check for latest engagement</t>
  </si>
  <si>
    <t>Does latest engagement straddle 2 calendar years?</t>
  </si>
  <si>
    <t>1) if schedule of physical presence only consist of before 2014, results = Exempt if no fixed base.</t>
  </si>
  <si>
    <t>2) if schedule of physical presence only consist of 2014 onwards, results = No need for overriding, as per matrix results.</t>
  </si>
  <si>
    <t>3) if schedule of physical presence overlaps both old and new treaties, results = show matrix results under new treaty. This is because we are showing results for latest engagement, which would have the additional check for no. days.</t>
  </si>
  <si>
    <t>Note that the hardcoding relating to this has been removed in Jan 2014.</t>
  </si>
  <si>
    <t>Guernsey</t>
  </si>
  <si>
    <t>Isle of Man</t>
  </si>
  <si>
    <t>Jersey</t>
  </si>
  <si>
    <t>No fixed base OR stay &lt;= xx days in a calendar year</t>
  </si>
  <si>
    <t>No fixed base OR stay &lt;= xx days in moving 12-mth period</t>
  </si>
  <si>
    <t>Stay &lt;= xx days in moving 12-mth period</t>
  </si>
  <si>
    <t>No fixed base &amp; stay &lt;= xx days in moving 15-mth period</t>
  </si>
  <si>
    <t>No fixed base OR stay &lt;= xx days in a calendar year OR Income &lt; $xx</t>
  </si>
  <si>
    <t>1) if schedule of physical presence only consist of before 2014, results = Not exempt, reason given because no treaty in place.</t>
  </si>
  <si>
    <t>3) if schedule of physical presence overlaps both old and new treaties, results = show matrix results under new treaty but include line to disallow exemption for 2013, reason being no treaty in place (presentation similar to calendar year style).</t>
  </si>
  <si>
    <t>Belarus</t>
  </si>
  <si>
    <t>1) if schedule of physical presence only consist of before 2015, results = Not exempt, reason given because no treaty in place.</t>
  </si>
  <si>
    <t>3) if schedule of physical presence overlaps both old and new treaties, results = show matrix results under new treaty but include line to disallow exemption for 2014, reason being no treaty in place (presentation similar to calendar year style).</t>
  </si>
  <si>
    <t>Liechtenstein</t>
  </si>
  <si>
    <t>Morocco</t>
  </si>
  <si>
    <t>Note that the hardcoding relating to this has been removed in Jan 2015.</t>
  </si>
  <si>
    <t>Brazil</t>
  </si>
  <si>
    <t>Barbados</t>
  </si>
  <si>
    <t>Ecuador</t>
  </si>
  <si>
    <t>Poland</t>
  </si>
  <si>
    <t>San Marino</t>
  </si>
  <si>
    <t>Seychelles</t>
  </si>
  <si>
    <t>1) if schedule of physical presence only consist of before 2016, results = Not exempt, reason given because no treaty in place.</t>
  </si>
  <si>
    <t>2) if schedule of physical presence only consist of 2015 onwards, results = No need for overriding, as per matrix results.</t>
  </si>
  <si>
    <t>3) if schedule of physical presence overlaps both old and new treaties, results = show matrix results under new treaty but include line to disallow exemption for 2015, reason being no treaty in place (presentation similar to calendar year style).</t>
  </si>
  <si>
    <t>Note that the hardcoding relating to this has been removed in Jan 2016.</t>
  </si>
  <si>
    <t xml:space="preserve">The payer has to claim the tax treaty exemption on behalf of the NRP when e-Filing the </t>
  </si>
  <si>
    <t>4.</t>
  </si>
  <si>
    <t>Laos</t>
  </si>
  <si>
    <t>Rwanda</t>
  </si>
  <si>
    <t>Note that the hardcoding relating to this has been removed in Jan 2017.</t>
  </si>
  <si>
    <t>Russian Federation</t>
  </si>
  <si>
    <t>D47:</t>
  </si>
  <si>
    <t>Please enter the period of each of your current and prior visits, if any, in chronological order:</t>
  </si>
  <si>
    <t>Visit 1</t>
  </si>
  <si>
    <t>Visit 2</t>
  </si>
  <si>
    <t>Visit 3</t>
  </si>
  <si>
    <t>Visit 4</t>
  </si>
  <si>
    <t>Visit 5</t>
  </si>
  <si>
    <t>Date of Arrival</t>
  </si>
  <si>
    <t>Date of Departure</t>
  </si>
  <si>
    <t>Physical Presence in Singapore</t>
  </si>
  <si>
    <t>Please complete the schedule of physical presence below.</t>
  </si>
  <si>
    <t>Please enter departure date for this visit</t>
  </si>
  <si>
    <t>Please enter arrival date for this visit</t>
  </si>
  <si>
    <t>Departure date is earlier than the arrival date for this visit</t>
  </si>
  <si>
    <t>Full Name (as per passport):</t>
  </si>
  <si>
    <t>All particulars in this form are to be properly furnished where applicable and completed and signed by the NRP. The form submitted must bear the signature of the NRP. Please note claims for exemption will not be accepted for incomplete forms.</t>
  </si>
  <si>
    <t>Departure Date</t>
  </si>
  <si>
    <t>Latest visit involves only old treaty, only new treaty, or both</t>
  </si>
  <si>
    <t>References hardcoded into cells above for:  &lt;to remove wef 1/1/18&gt;</t>
  </si>
  <si>
    <t>Start date for latest engagement:</t>
  </si>
  <si>
    <t>End date of latest engagement:</t>
  </si>
  <si>
    <t>Start Date</t>
  </si>
  <si>
    <t>End Date</t>
  </si>
  <si>
    <t>Latest Engagement</t>
  </si>
  <si>
    <t>RESULT  (for current visit only)</t>
  </si>
  <si>
    <t>Cambodia</t>
  </si>
  <si>
    <t>Ethiopia</t>
  </si>
  <si>
    <t>Uruguay</t>
  </si>
  <si>
    <t>D50:</t>
  </si>
  <si>
    <t>S45 withholding tax form.</t>
  </si>
  <si>
    <t>Reduced rate - fixed base</t>
  </si>
  <si>
    <t>Reduced rate - fixed base &amp; physical presence</t>
  </si>
  <si>
    <t>Reduced rate</t>
  </si>
  <si>
    <t>To qualify for reduced withholding tax rate, you must not have a fixed base in Singapore.</t>
  </si>
  <si>
    <t>10%</t>
  </si>
  <si>
    <t>5%</t>
  </si>
  <si>
    <t>Treaty Effective Date</t>
  </si>
  <si>
    <t>- You have a fixed base in Singapore.</t>
  </si>
  <si>
    <t>- Your income has exceeded the threshold.</t>
  </si>
  <si>
    <t>based on:</t>
  </si>
  <si>
    <t>Additional Checks:</t>
  </si>
  <si>
    <t>Treaty Version:</t>
  </si>
  <si>
    <t>Additional Taxable Reasons:</t>
  </si>
  <si>
    <t>Total taxable reasons:</t>
  </si>
  <si>
    <t>No. of other reasons:</t>
  </si>
  <si>
    <t>2a. Fixed base</t>
  </si>
  <si>
    <t>2b. Income</t>
  </si>
  <si>
    <t>Line 1 (D50)</t>
  </si>
  <si>
    <t>No exemption, reduced rate only*:</t>
  </si>
  <si>
    <t>Prior to Effective Date:</t>
  </si>
  <si>
    <t>3. Duration</t>
  </si>
  <si>
    <t>is provided.</t>
  </si>
  <si>
    <t>Certificate of Residence</t>
  </si>
  <si>
    <t>Excluding Col. 2, Exempt if:</t>
  </si>
  <si>
    <t>Nigeria</t>
  </si>
  <si>
    <t>Previously used for:</t>
  </si>
  <si>
    <t>and pay the withholding tax.</t>
  </si>
  <si>
    <t>S45 Withholding Tax Form</t>
  </si>
  <si>
    <t>(b) The payer must pay the withholding tax and e-File the</t>
  </si>
  <si>
    <t>Name and Address of Payer
(For Current Visit Only)</t>
  </si>
  <si>
    <t>Ghana</t>
  </si>
  <si>
    <t>Tunisia</t>
  </si>
  <si>
    <t>Instructions</t>
  </si>
  <si>
    <t>Ethiopia, Uruguay  |  Laos</t>
  </si>
  <si>
    <t>Sri Lanka  | France and Thailand</t>
  </si>
  <si>
    <t>Income is borne/paid by SG entity</t>
  </si>
  <si>
    <t>Treaty is effective from 1 Jan 201X (201x being current year)</t>
  </si>
  <si>
    <t>Ghana, Tunisia</t>
  </si>
  <si>
    <t>New Treaty:</t>
  </si>
  <si>
    <t>New Exemption:</t>
  </si>
  <si>
    <t xml:space="preserve">          </t>
  </si>
  <si>
    <t>Turkmenistan</t>
  </si>
  <si>
    <t>DTA Calculator for Non-Resident Professionals/ Form IR586</t>
  </si>
  <si>
    <t>Your country/region of ordinary residence</t>
  </si>
  <si>
    <t>Please select your country/region of ordinary residence (Section 1).</t>
  </si>
  <si>
    <t>Section 1 - Please select country/region.</t>
  </si>
  <si>
    <r>
      <t xml:space="preserve">Only countries/regions with </t>
    </r>
    <r>
      <rPr>
        <sz val="12"/>
        <color indexed="12"/>
        <rFont val="Century Gothic"/>
        <family val="2"/>
      </rPr>
      <t>existing tax treaties/agreements</t>
    </r>
    <r>
      <rPr>
        <sz val="12"/>
        <color indexed="8"/>
        <rFont val="Century Gothic"/>
        <family val="2"/>
      </rPr>
      <t xml:space="preserve"> with Singapore are listed</t>
    </r>
  </si>
  <si>
    <r>
      <t xml:space="preserve">To determine if exemption/ reduced withholding tax rate applies to a  </t>
    </r>
    <r>
      <rPr>
        <u val="single"/>
        <sz val="11"/>
        <color indexed="9"/>
        <rFont val="Century Gothic"/>
        <family val="2"/>
      </rPr>
      <t>Non-Resident Professional</t>
    </r>
    <r>
      <rPr>
        <sz val="11"/>
        <color indexed="9"/>
        <rFont val="Century Gothic"/>
        <family val="2"/>
      </rPr>
      <t xml:space="preserve">  performing services in Singapore</t>
    </r>
  </si>
  <si>
    <t>Arrival 
Date</t>
  </si>
  <si>
    <t>Armenia</t>
  </si>
  <si>
    <t>Jordan</t>
  </si>
  <si>
    <t>Serbia</t>
  </si>
  <si>
    <t>Schedule of physical presence in Singapore. If there are more than 5 visits, email se@iras.gov.sg.</t>
  </si>
  <si>
    <t>For enquiries, email IRAS at se@iras.gov.sg or call 1800-356 8300</t>
  </si>
  <si>
    <t>1) If latest engagement involves preceding year and no. of days &gt; 90: Taxable/Exempt</t>
  </si>
  <si>
    <t>2) If engagement involves current/adv year: Yes/No</t>
  </si>
  <si>
    <t>CONCATENATE("- Your physical presence in Singapore exceeded 89 days ",VLOOKUP("Latest engagement",$T$32:$AK$41,18,FALSE)),</t>
  </si>
  <si>
    <t>For UAE (calendar basis) - use customised result (AL341) for AC102 (populates in either D50/52) if latest engagement straddles 2 years and either
1) both years are taxable (I44 &amp; L44 = Taxable)
2) only 2017 taxable (L44 = Taxable)
3) only 2016 taxable (I44 = Taxable)
Remove customised msg for UAE in AC110 and AC111 wef 1/1/2018</t>
  </si>
  <si>
    <t>To qualify for tax exemption, your physical presence in any 12-month period must not exceed 90 days prior to 1 Jan 2022, or 89 days with effect from 1 Jan 2022.</t>
  </si>
  <si>
    <t>This calculator is correct as at 4 Jul 2022.  Please check the IRAS website at www.iras.gov.sg for the latest version.
The calculator provides results based on the stated assumptions and your inputs.  It may not provide for all possible scenarios.</t>
  </si>
  <si>
    <r>
      <t xml:space="preserve">Reduced rate only 
</t>
    </r>
    <r>
      <rPr>
        <i/>
        <sz val="8"/>
        <color indexed="9"/>
        <rFont val="Arial"/>
        <family val="2"/>
      </rPr>
      <t>(no exemption)</t>
    </r>
  </si>
  <si>
    <r>
      <t xml:space="preserve">Explanation on why only certain questions are required. </t>
    </r>
    <r>
      <rPr>
        <sz val="11"/>
        <color indexed="9"/>
        <rFont val="Calibri"/>
        <family val="2"/>
      </rPr>
      <t>(Section 1, D11)</t>
    </r>
  </si>
  <si>
    <r>
      <t>Vietnam</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01/01/2014.</t>
    </r>
  </si>
  <si>
    <r>
      <t>United Kingdom</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01/01/2013.</t>
    </r>
  </si>
  <si>
    <r>
      <rPr>
        <u val="single"/>
        <strike/>
        <sz val="11"/>
        <color indexed="9"/>
        <rFont val="Calibri"/>
        <family val="2"/>
      </rPr>
      <t>Guernsey, Isle of Man, Jersey, Belarus</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01/01/2014.</t>
    </r>
  </si>
  <si>
    <r>
      <rPr>
        <u val="single"/>
        <strike/>
        <sz val="11"/>
        <color indexed="9"/>
        <rFont val="Calibri"/>
        <family val="2"/>
      </rPr>
      <t>Babados, Liechtenstein, Morocco</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01/01/2015.</t>
    </r>
  </si>
  <si>
    <r>
      <t>Ecuador, Luxembourg, San Marino, Seychelles</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01/01/2016.</t>
    </r>
  </si>
  <si>
    <r>
      <t xml:space="preserve"> - </t>
    </r>
    <r>
      <rPr>
        <b/>
        <sz val="11"/>
        <color indexed="9"/>
        <rFont val="Calibri"/>
        <family val="2"/>
      </rPr>
      <t>new treaty</t>
    </r>
    <r>
      <rPr>
        <sz val="11"/>
        <color indexed="9"/>
        <rFont val="Calibri"/>
        <family val="2"/>
      </rPr>
      <t xml:space="preserve">/ </t>
    </r>
    <r>
      <rPr>
        <b/>
        <sz val="11"/>
        <color indexed="9"/>
        <rFont val="Calibri"/>
        <family val="2"/>
      </rPr>
      <t>new exemption</t>
    </r>
    <r>
      <rPr>
        <sz val="11"/>
        <color indexed="9"/>
        <rFont val="Calibri"/>
        <family val="2"/>
      </rPr>
      <t xml:space="preserve"> wef 1 Jan of current year for countries with </t>
    </r>
    <r>
      <rPr>
        <b/>
        <sz val="11"/>
        <color indexed="9"/>
        <rFont val="Calibri"/>
        <family val="2"/>
      </rPr>
      <t xml:space="preserve">no fixed base </t>
    </r>
    <r>
      <rPr>
        <sz val="11"/>
        <color indexed="9"/>
        <rFont val="Calibri"/>
        <family val="2"/>
      </rPr>
      <t xml:space="preserve">and </t>
    </r>
    <r>
      <rPr>
        <b/>
        <sz val="11"/>
        <color indexed="9"/>
        <rFont val="Calibri"/>
        <family val="2"/>
      </rPr>
      <t xml:space="preserve">period </t>
    </r>
    <r>
      <rPr>
        <sz val="11"/>
        <color indexed="9"/>
        <rFont val="Calibri"/>
        <family val="2"/>
      </rPr>
      <t>conditions only</t>
    </r>
  </si>
  <si>
    <r>
      <rPr>
        <b/>
        <sz val="11"/>
        <color indexed="9"/>
        <rFont val="Calibri"/>
        <family val="2"/>
      </rPr>
      <t>Customised error reason</t>
    </r>
    <r>
      <rPr>
        <sz val="11"/>
        <color indexed="9"/>
        <rFont val="Calibri"/>
        <family val="2"/>
      </rPr>
      <t xml:space="preserve"> (AL363) in D50 if latest engagement involves preceding year:</t>
    </r>
  </si>
  <si>
    <r>
      <t xml:space="preserve">If latest visit involve </t>
    </r>
    <r>
      <rPr>
        <sz val="11"/>
        <color indexed="9"/>
        <rFont val="Calibri"/>
        <family val="2"/>
      </rPr>
      <t>preceding year ONLY (i.e. Old): Result = AC109
if latest visit straddles 2017 and 2018 (i.e. Mix): Result = AC110
if latest visit doesn't involve 2017 at all (i.e. wef 2018, New): Result = O47</t>
    </r>
  </si>
  <si>
    <r>
      <t xml:space="preserve">Customised error reason (AL359) in </t>
    </r>
    <r>
      <rPr>
        <b/>
        <sz val="11"/>
        <color indexed="9"/>
        <rFont val="Calibri"/>
        <family val="2"/>
      </rPr>
      <t xml:space="preserve">D50 </t>
    </r>
    <r>
      <rPr>
        <sz val="11"/>
        <color indexed="9"/>
        <rFont val="Calibri"/>
        <family val="2"/>
      </rPr>
      <t>if latest engagement involves preceding year:
If Nigeria: Treaty is effective from 1/1/19</t>
    </r>
  </si>
  <si>
    <r>
      <t xml:space="preserve">Indonesia
</t>
    </r>
    <r>
      <rPr>
        <u val="single"/>
        <strike/>
        <sz val="11"/>
        <color indexed="9"/>
        <rFont val="Calibri"/>
        <family val="2"/>
      </rPr>
      <t>Russia, UAE</t>
    </r>
    <r>
      <rPr>
        <strike/>
        <sz val="11"/>
        <color indexed="9"/>
        <rFont val="Calibri"/>
        <family val="2"/>
      </rPr>
      <t xml:space="preserve"> </t>
    </r>
  </si>
  <si>
    <r>
      <t>- revised treaty wef 01/01/2017 (</t>
    </r>
    <r>
      <rPr>
        <b/>
        <sz val="11"/>
        <color indexed="9"/>
        <rFont val="Calibri"/>
        <family val="2"/>
      </rPr>
      <t xml:space="preserve">change in number of days </t>
    </r>
    <r>
      <rPr>
        <sz val="11"/>
        <color indexed="9"/>
        <rFont val="Calibri"/>
        <family val="2"/>
      </rPr>
      <t>between old and revised treaty)</t>
    </r>
  </si>
  <si>
    <r>
      <t xml:space="preserve">3) If preceding year is not involved or is also exempt: </t>
    </r>
    <r>
      <rPr>
        <b/>
        <sz val="11"/>
        <color indexed="9"/>
        <rFont val="Calibri"/>
        <family val="2"/>
      </rPr>
      <t>Exempt</t>
    </r>
    <r>
      <rPr>
        <sz val="11"/>
        <color indexed="9"/>
        <rFont val="Calibri"/>
        <family val="2"/>
      </rPr>
      <t xml:space="preserve"> (O47)
If latest engagement straddles preceding year and current year (transition period), stay &gt; 90 but &lt; 184 (i.e. T Y): </t>
    </r>
    <r>
      <rPr>
        <b/>
        <sz val="11"/>
        <color indexed="9"/>
        <rFont val="Calibri"/>
        <family val="2"/>
      </rPr>
      <t>Mixed</t>
    </r>
    <r>
      <rPr>
        <sz val="11"/>
        <color indexed="9"/>
        <rFont val="Calibri"/>
        <family val="2"/>
      </rPr>
      <t xml:space="preserve"> (D47=AC110, D50=AL340 90)
If latest engagement involves 2016 ONLY and stay &gt; 90 days (i.e. T N): </t>
    </r>
    <r>
      <rPr>
        <b/>
        <sz val="11"/>
        <color indexed="9"/>
        <rFont val="Calibri"/>
        <family val="2"/>
      </rPr>
      <t>Taxable</t>
    </r>
    <r>
      <rPr>
        <sz val="11"/>
        <color indexed="9"/>
        <rFont val="Calibri"/>
        <family val="2"/>
      </rPr>
      <t xml:space="preserve"> (D47=AC109,D50=AL340 90)
If latest engagement's straddles 2016 and 2017 and stay &gt; 183 (i.e. T Y): </t>
    </r>
    <r>
      <rPr>
        <b/>
        <sz val="11"/>
        <color indexed="9"/>
        <rFont val="Calibri"/>
        <family val="2"/>
      </rPr>
      <t>Taxable</t>
    </r>
    <r>
      <rPr>
        <sz val="11"/>
        <color indexed="9"/>
        <rFont val="Calibri"/>
        <family val="2"/>
      </rPr>
      <t xml:space="preserve"> (D47=AC109, D50=AL340 183)
Customised 2016 taxable reason (AL340) for Section 3 taxable reason (AC103, which populates in either D50/52)</t>
    </r>
  </si>
  <si>
    <t>Citizenship:</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</si>
</sst>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dd\-mmm\-yyyy"/>
    <numFmt numFmtId="174" formatCode="[$-409]dddd\,\ dd\ mmmm\,\ yyyy"/>
    <numFmt numFmtId="175" formatCode="[$-409]dddd\,\ mmmm\ dd\,\ yyyy"/>
    <numFmt numFmtId="176" formatCode="[$-4809]dddd\,\ d\ mmmm\,\ yyyy"/>
    <numFmt numFmtId="177" formatCode="[$-409]dd\-mmm\-yy;@"/>
    <numFmt numFmtId="178" formatCode="[$-14809]dd/mm/yyyy;@"/>
    <numFmt numFmtId="179" formatCode="mm/dd/yy;@"/>
    <numFmt numFmtId="180" formatCode="d/m/yyyy"/>
  </numFmts>
  <fonts count="126">
    <font>
      <sz val="11"/>
      <color theme="1"/>
      <name val="Calibri"/>
      <family val="2"/>
    </font>
    <font>
      <sz val="11"/>
      <color indexed="8"/>
      <name val="Calibri"/>
      <family val="2"/>
    </font>
    <font>
      <sz val="10"/>
      <name val="Century Gothic"/>
      <family val="2"/>
    </font>
    <font>
      <sz val="8"/>
      <name val="Century Gothic"/>
      <family val="2"/>
    </font>
    <font>
      <b/>
      <sz val="10"/>
      <name val="Century Gothic"/>
      <family val="2"/>
    </font>
    <font>
      <i/>
      <sz val="8"/>
      <name val="Century Gothic"/>
      <family val="2"/>
    </font>
    <font>
      <sz val="12"/>
      <name val="Century Gothic"/>
      <family val="2"/>
    </font>
    <font>
      <b/>
      <sz val="12"/>
      <name val="Century Gothic"/>
      <family val="2"/>
    </font>
    <font>
      <b/>
      <i/>
      <sz val="11"/>
      <name val="Century Gothic"/>
      <family val="2"/>
    </font>
    <font>
      <u val="single"/>
      <sz val="11"/>
      <name val="Century Gothic"/>
      <family val="2"/>
    </font>
    <font>
      <b/>
      <sz val="8"/>
      <name val="Tahoma"/>
      <family val="2"/>
    </font>
    <font>
      <sz val="8"/>
      <name val="Tahoma"/>
      <family val="2"/>
    </font>
    <font>
      <sz val="9"/>
      <name val="Tahoma"/>
      <family val="2"/>
    </font>
    <font>
      <b/>
      <sz val="9"/>
      <name val="Tahoma"/>
      <family val="2"/>
    </font>
    <font>
      <sz val="11"/>
      <name val="Century Gothic"/>
      <family val="2"/>
    </font>
    <font>
      <sz val="12"/>
      <color indexed="8"/>
      <name val="Century Gothic"/>
      <family val="2"/>
    </font>
    <font>
      <sz val="12"/>
      <color indexed="12"/>
      <name val="Century Gothic"/>
      <family val="2"/>
    </font>
    <font>
      <i/>
      <sz val="12"/>
      <name val="Century Gothic"/>
      <family val="2"/>
    </font>
    <font>
      <b/>
      <i/>
      <sz val="8"/>
      <name val="Century Gothic"/>
      <family val="2"/>
    </font>
    <font>
      <b/>
      <i/>
      <sz val="12"/>
      <name val="Century Gothic"/>
      <family val="2"/>
    </font>
    <font>
      <b/>
      <sz val="8"/>
      <name val="Century Gothic"/>
      <family val="2"/>
    </font>
    <font>
      <sz val="11.5"/>
      <name val="Century Gothic"/>
      <family val="2"/>
    </font>
    <font>
      <sz val="11"/>
      <color indexed="9"/>
      <name val="Century Gothic"/>
      <family val="2"/>
    </font>
    <font>
      <sz val="10.5"/>
      <name val="Century Gothic"/>
      <family val="2"/>
    </font>
    <font>
      <u val="single"/>
      <sz val="11"/>
      <color indexed="9"/>
      <name val="Century Gothic"/>
      <family val="2"/>
    </font>
    <font>
      <b/>
      <sz val="11"/>
      <name val="Century Gothic"/>
      <family val="2"/>
    </font>
    <font>
      <sz val="8"/>
      <name val="Calibri"/>
      <family val="2"/>
    </font>
    <font>
      <sz val="11"/>
      <color indexed="9"/>
      <name val="Calibri"/>
      <family val="2"/>
    </font>
    <font>
      <b/>
      <sz val="11"/>
      <color indexed="9"/>
      <name val="Calibri"/>
      <family val="2"/>
    </font>
    <font>
      <i/>
      <sz val="8"/>
      <color indexed="9"/>
      <name val="Arial"/>
      <family val="2"/>
    </font>
    <font>
      <strike/>
      <sz val="11"/>
      <color indexed="9"/>
      <name val="Calibri"/>
      <family val="2"/>
    </font>
    <font>
      <i/>
      <strike/>
      <sz val="11"/>
      <color indexed="9"/>
      <name val="Calibri"/>
      <family val="2"/>
    </font>
    <font>
      <u val="single"/>
      <strike/>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2"/>
      <color indexed="9"/>
      <name val="Century Gothic"/>
      <family val="2"/>
    </font>
    <font>
      <b/>
      <i/>
      <sz val="8"/>
      <color indexed="10"/>
      <name val="Century Gothic"/>
      <family val="2"/>
    </font>
    <font>
      <sz val="10"/>
      <color indexed="10"/>
      <name val="Century Gothic"/>
      <family val="2"/>
    </font>
    <font>
      <sz val="8"/>
      <color indexed="9"/>
      <name val="Century Gothic"/>
      <family val="2"/>
    </font>
    <font>
      <sz val="10"/>
      <color indexed="9"/>
      <name val="Century Gothic"/>
      <family val="2"/>
    </font>
    <font>
      <u val="single"/>
      <sz val="8"/>
      <color indexed="12"/>
      <name val="Century Gothic"/>
      <family val="2"/>
    </font>
    <font>
      <b/>
      <sz val="11"/>
      <color indexed="9"/>
      <name val="Century Gothic"/>
      <family val="2"/>
    </font>
    <font>
      <b/>
      <sz val="12"/>
      <color indexed="56"/>
      <name val="Century Gothic"/>
      <family val="2"/>
    </font>
    <font>
      <b/>
      <sz val="12"/>
      <color indexed="12"/>
      <name val="Century Gothic"/>
      <family val="2"/>
    </font>
    <font>
      <sz val="11"/>
      <color indexed="8"/>
      <name val="Century Gothic"/>
      <family val="2"/>
    </font>
    <font>
      <u val="single"/>
      <sz val="10"/>
      <color indexed="9"/>
      <name val="Century Gothic"/>
      <family val="2"/>
    </font>
    <font>
      <b/>
      <sz val="11"/>
      <color indexed="13"/>
      <name val="Century Gothic"/>
      <family val="2"/>
    </font>
    <font>
      <sz val="11"/>
      <color indexed="10"/>
      <name val="Century Gothic"/>
      <family val="2"/>
    </font>
    <font>
      <b/>
      <sz val="12"/>
      <color indexed="8"/>
      <name val="Century Gothic"/>
      <family val="2"/>
    </font>
    <font>
      <u val="single"/>
      <sz val="10"/>
      <color indexed="12"/>
      <name val="Century Gothic"/>
      <family val="2"/>
    </font>
    <font>
      <sz val="13"/>
      <color indexed="12"/>
      <name val="Century Gothic"/>
      <family val="2"/>
    </font>
    <font>
      <b/>
      <sz val="10"/>
      <color indexed="9"/>
      <name val="Arial"/>
      <family val="2"/>
    </font>
    <font>
      <sz val="10"/>
      <color indexed="9"/>
      <name val="Arial"/>
      <family val="2"/>
    </font>
    <font>
      <b/>
      <sz val="9"/>
      <color indexed="9"/>
      <name val="Arial"/>
      <family val="2"/>
    </font>
    <font>
      <b/>
      <sz val="8"/>
      <color indexed="9"/>
      <name val="Arial"/>
      <family val="2"/>
    </font>
    <font>
      <sz val="8"/>
      <color indexed="9"/>
      <name val="Arial"/>
      <family val="2"/>
    </font>
    <font>
      <sz val="8"/>
      <color indexed="9"/>
      <name val="Calibri"/>
      <family val="2"/>
    </font>
    <font>
      <b/>
      <strike/>
      <sz val="11"/>
      <color indexed="9"/>
      <name val="Calibri"/>
      <family val="2"/>
    </font>
    <font>
      <u val="single"/>
      <sz val="11"/>
      <color indexed="9"/>
      <name val="Calibri"/>
      <family val="2"/>
    </font>
    <font>
      <b/>
      <sz val="12"/>
      <color indexed="18"/>
      <name val="Century Gothic"/>
      <family val="2"/>
    </font>
    <font>
      <b/>
      <sz val="16"/>
      <color indexed="9"/>
      <name val="Century Gothic"/>
      <family val="2"/>
    </font>
    <font>
      <b/>
      <sz val="20"/>
      <color indexed="9"/>
      <name val="Century Gothic"/>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entury Gothic"/>
      <family val="2"/>
    </font>
    <font>
      <b/>
      <i/>
      <sz val="8"/>
      <color rgb="FFFF0000"/>
      <name val="Century Gothic"/>
      <family val="2"/>
    </font>
    <font>
      <sz val="10"/>
      <color rgb="FFFF0000"/>
      <name val="Century Gothic"/>
      <family val="2"/>
    </font>
    <font>
      <sz val="8"/>
      <color theme="0"/>
      <name val="Century Gothic"/>
      <family val="2"/>
    </font>
    <font>
      <sz val="10"/>
      <color theme="0"/>
      <name val="Century Gothic"/>
      <family val="2"/>
    </font>
    <font>
      <u val="single"/>
      <sz val="8"/>
      <color theme="10"/>
      <name val="Century Gothic"/>
      <family val="2"/>
    </font>
    <font>
      <b/>
      <sz val="11"/>
      <color theme="0"/>
      <name val="Century Gothic"/>
      <family val="2"/>
    </font>
    <font>
      <b/>
      <sz val="12"/>
      <color rgb="FF002060"/>
      <name val="Century Gothic"/>
      <family val="2"/>
    </font>
    <font>
      <b/>
      <sz val="12"/>
      <color rgb="FF0000FF"/>
      <name val="Century Gothic"/>
      <family val="2"/>
    </font>
    <font>
      <sz val="12"/>
      <color theme="1"/>
      <name val="Century Gothic"/>
      <family val="2"/>
    </font>
    <font>
      <sz val="11"/>
      <color theme="1"/>
      <name val="Century Gothic"/>
      <family val="2"/>
    </font>
    <font>
      <u val="single"/>
      <sz val="10"/>
      <color theme="0"/>
      <name val="Century Gothic"/>
      <family val="2"/>
    </font>
    <font>
      <b/>
      <sz val="11"/>
      <color rgb="FFFFFF00"/>
      <name val="Century Gothic"/>
      <family val="2"/>
    </font>
    <font>
      <sz val="11"/>
      <color theme="0"/>
      <name val="Century Gothic"/>
      <family val="2"/>
    </font>
    <font>
      <sz val="11"/>
      <color rgb="FFFF0000"/>
      <name val="Century Gothic"/>
      <family val="2"/>
    </font>
    <font>
      <b/>
      <sz val="12"/>
      <color theme="1"/>
      <name val="Century Gothic"/>
      <family val="2"/>
    </font>
    <font>
      <u val="single"/>
      <sz val="10"/>
      <color theme="10"/>
      <name val="Century Gothic"/>
      <family val="2"/>
    </font>
    <font>
      <sz val="13"/>
      <color rgb="FF0000FF"/>
      <name val="Century Gothic"/>
      <family val="2"/>
    </font>
    <font>
      <sz val="12"/>
      <color rgb="FF0000FF"/>
      <name val="Century Gothic"/>
      <family val="2"/>
    </font>
    <font>
      <b/>
      <sz val="10"/>
      <color theme="0"/>
      <name val="Arial"/>
      <family val="2"/>
    </font>
    <font>
      <sz val="10"/>
      <color theme="0"/>
      <name val="Arial"/>
      <family val="2"/>
    </font>
    <font>
      <b/>
      <sz val="9"/>
      <color theme="0"/>
      <name val="Arial"/>
      <family val="2"/>
    </font>
    <font>
      <b/>
      <sz val="8"/>
      <color theme="0"/>
      <name val="Arial"/>
      <family val="2"/>
    </font>
    <font>
      <sz val="8"/>
      <color theme="0"/>
      <name val="Arial"/>
      <family val="2"/>
    </font>
    <font>
      <sz val="8"/>
      <color theme="0"/>
      <name val="Calibri"/>
      <family val="2"/>
    </font>
    <font>
      <strike/>
      <sz val="11"/>
      <color theme="0"/>
      <name val="Calibri"/>
      <family val="2"/>
    </font>
    <font>
      <u val="single"/>
      <strike/>
      <sz val="11"/>
      <color theme="0"/>
      <name val="Calibri"/>
      <family val="2"/>
    </font>
    <font>
      <b/>
      <strike/>
      <sz val="11"/>
      <color theme="0"/>
      <name val="Calibri"/>
      <family val="2"/>
    </font>
    <font>
      <u val="single"/>
      <sz val="11"/>
      <color theme="0"/>
      <name val="Calibri"/>
      <family val="2"/>
    </font>
    <font>
      <b/>
      <sz val="20"/>
      <color theme="0"/>
      <name val="Century Gothic"/>
      <family val="2"/>
    </font>
    <font>
      <b/>
      <sz val="16"/>
      <color theme="0"/>
      <name val="Century Gothic"/>
      <family val="2"/>
    </font>
    <font>
      <b/>
      <sz val="12"/>
      <color theme="4" tint="-0.4999699890613556"/>
      <name val="Century Gothic"/>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99"/>
        <bgColor indexed="64"/>
      </patternFill>
    </fill>
    <fill>
      <patternFill patternType="solid">
        <fgColor indexed="9"/>
        <bgColor indexed="64"/>
      </patternFill>
    </fill>
    <fill>
      <patternFill patternType="solid">
        <fgColor theme="0"/>
        <bgColor indexed="64"/>
      </patternFill>
    </fill>
    <fill>
      <patternFill patternType="solid">
        <fgColor theme="4" tint="-0.24997000396251678"/>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FF00"/>
        <bgColor indexed="64"/>
      </patternFill>
    </fill>
    <fill>
      <patternFill patternType="solid">
        <fgColor rgb="FFB800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336699"/>
      </left>
      <right>
        <color indexed="63"/>
      </right>
      <top style="medium">
        <color rgb="FF336699"/>
      </top>
      <bottom style="medium">
        <color rgb="FF336699"/>
      </bottom>
    </border>
    <border>
      <left>
        <color indexed="63"/>
      </left>
      <right>
        <color indexed="63"/>
      </right>
      <top style="medium">
        <color rgb="FF336699"/>
      </top>
      <bottom style="medium">
        <color rgb="FF336699"/>
      </bottom>
    </border>
    <border>
      <left>
        <color indexed="63"/>
      </left>
      <right>
        <color indexed="63"/>
      </right>
      <top style="medium">
        <color rgb="FF336699"/>
      </top>
      <bottom>
        <color indexed="63"/>
      </bottom>
    </border>
    <border>
      <left>
        <color indexed="63"/>
      </left>
      <right>
        <color indexed="63"/>
      </right>
      <top>
        <color indexed="63"/>
      </top>
      <bottom style="medium">
        <color rgb="FF336699"/>
      </bottom>
    </border>
    <border>
      <left>
        <color indexed="63"/>
      </left>
      <right style="medium">
        <color rgb="FF336699"/>
      </right>
      <top>
        <color indexed="63"/>
      </top>
      <bottom>
        <color indexed="63"/>
      </bottom>
    </border>
    <border>
      <left>
        <color indexed="63"/>
      </left>
      <right style="medium">
        <color rgb="FF336699"/>
      </right>
      <top>
        <color indexed="63"/>
      </top>
      <bottom style="medium">
        <color rgb="FF336699"/>
      </bottom>
    </border>
    <border>
      <left>
        <color indexed="63"/>
      </left>
      <right>
        <color indexed="63"/>
      </right>
      <top style="medium">
        <color theme="4" tint="-0.24993999302387238"/>
      </top>
      <bottom style="medium">
        <color theme="4" tint="-0.24993999302387238"/>
      </bottom>
    </border>
    <border>
      <left>
        <color indexed="63"/>
      </left>
      <right>
        <color indexed="63"/>
      </right>
      <top style="medium">
        <color rgb="FF336699"/>
      </top>
      <bottom style="medium">
        <color theme="4" tint="-0.24993999302387238"/>
      </bottom>
    </border>
    <border>
      <left style="medium">
        <color rgb="FF336699"/>
      </left>
      <right>
        <color indexed="63"/>
      </right>
      <top style="medium">
        <color rgb="FF336699"/>
      </top>
      <bottom style="medium">
        <color theme="4" tint="-0.24993999302387238"/>
      </bottom>
    </border>
    <border>
      <left>
        <color indexed="63"/>
      </left>
      <right style="medium">
        <color rgb="FF336699"/>
      </right>
      <top style="medium">
        <color rgb="FF336699"/>
      </top>
      <bottom style="medium">
        <color theme="4" tint="-0.24993999302387238"/>
      </bottom>
    </border>
    <border>
      <left style="medium">
        <color rgb="FF336699"/>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color rgb="FF336699"/>
      </right>
      <top style="medium">
        <color rgb="FF336699"/>
      </top>
      <bottom style="medium">
        <color rgb="FF336699"/>
      </bottom>
    </border>
    <border>
      <left style="thin">
        <color theme="0"/>
      </left>
      <right style="thin">
        <color theme="0"/>
      </right>
      <top>
        <color indexed="63"/>
      </top>
      <bottom style="thin">
        <color theme="0"/>
      </bottom>
    </border>
    <border>
      <left style="medium">
        <color rgb="FF336699"/>
      </left>
      <right>
        <color indexed="63"/>
      </right>
      <top>
        <color indexed="63"/>
      </top>
      <bottom style="medium">
        <color rgb="FF336699"/>
      </bottom>
    </border>
    <border>
      <left style="medium">
        <color rgb="FF336699"/>
      </left>
      <right>
        <color indexed="63"/>
      </right>
      <top style="medium">
        <color rgb="FF336699"/>
      </top>
      <bottom>
        <color indexed="63"/>
      </bottom>
    </border>
    <border>
      <left>
        <color indexed="63"/>
      </left>
      <right style="medium">
        <color rgb="FF336699"/>
      </right>
      <top style="medium">
        <color rgb="FF336699"/>
      </top>
      <bottom>
        <color indexed="63"/>
      </bottom>
    </border>
    <border>
      <left style="thin">
        <color theme="0"/>
      </left>
      <right style="thin">
        <color theme="0"/>
      </right>
      <top style="thin">
        <color theme="0"/>
      </top>
      <bottom style="thin">
        <color theme="0"/>
      </bottom>
    </border>
    <border>
      <left>
        <color indexed="63"/>
      </left>
      <right>
        <color indexed="63"/>
      </right>
      <top>
        <color indexed="63"/>
      </top>
      <bottom style="thin"/>
    </border>
    <border>
      <left style="thin"/>
      <right style="thin"/>
      <top style="thin"/>
      <bottom style="thin"/>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rgb="FF336699"/>
      </left>
      <right>
        <color indexed="63"/>
      </right>
      <top style="thin">
        <color rgb="FF336699"/>
      </top>
      <bottom style="thin">
        <color rgb="FF336699"/>
      </bottom>
    </border>
    <border>
      <left>
        <color indexed="63"/>
      </left>
      <right>
        <color indexed="63"/>
      </right>
      <top style="thin">
        <color rgb="FF336699"/>
      </top>
      <bottom style="thin">
        <color rgb="FF336699"/>
      </bottom>
    </border>
    <border>
      <left>
        <color indexed="63"/>
      </left>
      <right style="thin">
        <color rgb="FF336699"/>
      </right>
      <top style="thin">
        <color rgb="FF336699"/>
      </top>
      <bottom style="thin">
        <color rgb="FF336699"/>
      </bottom>
    </border>
    <border>
      <left>
        <color indexed="63"/>
      </left>
      <right style="medium">
        <color rgb="FF336699"/>
      </right>
      <top style="thin">
        <color rgb="FF336699"/>
      </top>
      <bottom style="thin">
        <color rgb="FF336699"/>
      </bottom>
    </border>
    <border>
      <left style="thick">
        <color theme="3" tint="0.7999500036239624"/>
      </left>
      <right>
        <color indexed="63"/>
      </right>
      <top style="thick">
        <color theme="3" tint="0.7999500036239624"/>
      </top>
      <bottom style="thick">
        <color theme="3" tint="0.7999500036239624"/>
      </bottom>
    </border>
    <border>
      <left>
        <color indexed="63"/>
      </left>
      <right>
        <color indexed="63"/>
      </right>
      <top style="thick">
        <color theme="3" tint="0.7999500036239624"/>
      </top>
      <bottom style="thick">
        <color theme="3" tint="0.7999500036239624"/>
      </bottom>
    </border>
    <border>
      <left>
        <color indexed="63"/>
      </left>
      <right style="thick">
        <color theme="3" tint="0.7999500036239624"/>
      </right>
      <top style="thick">
        <color theme="3" tint="0.7999500036239624"/>
      </top>
      <bottom style="thick">
        <color theme="3" tint="0.7999500036239624"/>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336699"/>
      </left>
      <right>
        <color indexed="63"/>
      </right>
      <top style="thin">
        <color rgb="FF336699"/>
      </top>
      <bottom style="thin">
        <color rgb="FF336699"/>
      </bottom>
    </border>
    <border>
      <left style="thin">
        <color rgb="FF336699"/>
      </left>
      <right>
        <color indexed="63"/>
      </right>
      <top style="thin">
        <color rgb="FF336699"/>
      </top>
      <bottom>
        <color indexed="63"/>
      </bottom>
    </border>
    <border>
      <left>
        <color indexed="63"/>
      </left>
      <right>
        <color indexed="63"/>
      </right>
      <top style="thin">
        <color rgb="FF336699"/>
      </top>
      <bottom>
        <color indexed="63"/>
      </bottom>
    </border>
    <border>
      <left>
        <color indexed="63"/>
      </left>
      <right style="thin">
        <color rgb="FF336699"/>
      </right>
      <top style="thin">
        <color rgb="FF336699"/>
      </top>
      <bottom>
        <color indexed="63"/>
      </bottom>
    </border>
    <border>
      <left style="thin">
        <color rgb="FF336699"/>
      </left>
      <right>
        <color indexed="63"/>
      </right>
      <top>
        <color indexed="63"/>
      </top>
      <bottom>
        <color indexed="63"/>
      </bottom>
    </border>
    <border>
      <left>
        <color indexed="63"/>
      </left>
      <right style="thin">
        <color rgb="FF336699"/>
      </right>
      <top>
        <color indexed="63"/>
      </top>
      <bottom>
        <color indexed="63"/>
      </bottom>
    </border>
    <border>
      <left style="thin">
        <color rgb="FF336699"/>
      </left>
      <right>
        <color indexed="63"/>
      </right>
      <top>
        <color indexed="63"/>
      </top>
      <bottom style="medium">
        <color rgb="FF336699"/>
      </bottom>
    </border>
    <border>
      <left>
        <color indexed="63"/>
      </left>
      <right style="thin">
        <color rgb="FF336699"/>
      </right>
      <top>
        <color indexed="63"/>
      </top>
      <bottom style="medium">
        <color rgb="FF336699"/>
      </bottom>
    </border>
    <border>
      <left>
        <color indexed="63"/>
      </left>
      <right style="medium">
        <color rgb="FF336699"/>
      </right>
      <top style="thin">
        <color rgb="FF336699"/>
      </top>
      <bottom>
        <color indexed="63"/>
      </bottom>
    </border>
    <border>
      <left style="medium">
        <color rgb="FF336699"/>
      </left>
      <right>
        <color indexed="63"/>
      </right>
      <top style="thin">
        <color rgb="FF33669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42">
    <xf numFmtId="0" fontId="0" fillId="0" borderId="0" xfId="0" applyFont="1" applyAlignment="1">
      <alignment/>
    </xf>
    <xf numFmtId="0" fontId="0" fillId="0" borderId="0" xfId="0" applyFill="1" applyAlignment="1">
      <alignment/>
    </xf>
    <xf numFmtId="0" fontId="47" fillId="0" borderId="0" xfId="0" applyFont="1" applyFill="1" applyAlignment="1">
      <alignment horizontal="center" vertical="center"/>
    </xf>
    <xf numFmtId="0" fontId="2" fillId="0" borderId="0" xfId="0" applyFont="1" applyFill="1" applyAlignment="1" applyProtection="1">
      <alignment/>
      <protection hidden="1"/>
    </xf>
    <xf numFmtId="0" fontId="48" fillId="0" borderId="0" xfId="0" applyFont="1" applyFill="1" applyBorder="1" applyAlignment="1">
      <alignment horizontal="center" vertical="center"/>
    </xf>
    <xf numFmtId="0" fontId="93" fillId="33" borderId="10" xfId="0" applyFont="1" applyFill="1" applyBorder="1" applyAlignment="1" applyProtection="1">
      <alignment horizontal="center" vertical="center"/>
      <protection hidden="1"/>
    </xf>
    <xf numFmtId="0" fontId="93" fillId="33" borderId="11" xfId="0" applyFont="1" applyFill="1" applyBorder="1" applyAlignment="1" applyProtection="1">
      <alignment vertical="center"/>
      <protection hidden="1"/>
    </xf>
    <xf numFmtId="0" fontId="3" fillId="34" borderId="12" xfId="0" applyFont="1" applyFill="1" applyBorder="1" applyAlignment="1" applyProtection="1">
      <alignment/>
      <protection hidden="1"/>
    </xf>
    <xf numFmtId="14" fontId="3" fillId="34" borderId="12" xfId="0" applyNumberFormat="1" applyFont="1" applyFill="1" applyBorder="1" applyAlignment="1" applyProtection="1">
      <alignment horizontal="center"/>
      <protection hidden="1"/>
    </xf>
    <xf numFmtId="0" fontId="2" fillId="34" borderId="0" xfId="0" applyFont="1" applyFill="1" applyBorder="1" applyAlignment="1" applyProtection="1">
      <alignment horizontal="left" vertical="center" indent="2"/>
      <protection hidden="1"/>
    </xf>
    <xf numFmtId="0" fontId="2" fillId="34" borderId="0" xfId="0" applyFont="1" applyFill="1" applyBorder="1" applyAlignment="1" applyProtection="1">
      <alignment horizontal="left" vertical="center" wrapText="1" indent="2"/>
      <protection hidden="1"/>
    </xf>
    <xf numFmtId="0" fontId="4" fillId="34" borderId="0" xfId="0" applyFont="1" applyFill="1" applyBorder="1" applyAlignment="1" applyProtection="1">
      <alignment horizontal="left" vertical="center"/>
      <protection hidden="1"/>
    </xf>
    <xf numFmtId="0" fontId="94" fillId="34" borderId="0" xfId="0" applyNumberFormat="1" applyFont="1" applyFill="1" applyBorder="1" applyAlignment="1" applyProtection="1">
      <alignment horizontal="left" vertical="center" wrapText="1" indent="1"/>
      <protection hidden="1"/>
    </xf>
    <xf numFmtId="14" fontId="5" fillId="34" borderId="0" xfId="0" applyNumberFormat="1" applyFont="1" applyFill="1" applyBorder="1" applyAlignment="1" applyProtection="1">
      <alignment horizontal="left" vertical="center" wrapText="1" indent="1"/>
      <protection hidden="1"/>
    </xf>
    <xf numFmtId="0" fontId="3" fillId="34" borderId="13" xfId="0" applyFont="1" applyFill="1" applyBorder="1" applyAlignment="1" applyProtection="1">
      <alignment horizontal="left" vertical="top" indent="5"/>
      <protection hidden="1"/>
    </xf>
    <xf numFmtId="0" fontId="3" fillId="34" borderId="13" xfId="0" applyFont="1" applyFill="1" applyBorder="1" applyAlignment="1" applyProtection="1">
      <alignment horizontal="center"/>
      <protection hidden="1"/>
    </xf>
    <xf numFmtId="172" fontId="3" fillId="34" borderId="13" xfId="0" applyNumberFormat="1" applyFont="1" applyFill="1" applyBorder="1" applyAlignment="1" applyProtection="1">
      <alignment horizontal="center"/>
      <protection hidden="1"/>
    </xf>
    <xf numFmtId="0" fontId="3" fillId="34" borderId="0" xfId="0" applyFont="1" applyFill="1" applyBorder="1" applyAlignment="1" applyProtection="1">
      <alignment horizontal="left" vertical="center" indent="5"/>
      <protection hidden="1"/>
    </xf>
    <xf numFmtId="0" fontId="3" fillId="34" borderId="0" xfId="0" applyFont="1" applyFill="1" applyBorder="1" applyAlignment="1" applyProtection="1">
      <alignment horizontal="center"/>
      <protection hidden="1"/>
    </xf>
    <xf numFmtId="172" fontId="3" fillId="34" borderId="0" xfId="0" applyNumberFormat="1" applyFont="1" applyFill="1" applyBorder="1" applyAlignment="1" applyProtection="1">
      <alignment horizontal="center"/>
      <protection hidden="1"/>
    </xf>
    <xf numFmtId="0" fontId="3" fillId="34" borderId="0" xfId="0" applyFont="1" applyFill="1" applyBorder="1" applyAlignment="1" applyProtection="1">
      <alignment horizontal="left" vertical="top" indent="5"/>
      <protection hidden="1"/>
    </xf>
    <xf numFmtId="0" fontId="4" fillId="34" borderId="0" xfId="0" applyFont="1" applyFill="1" applyBorder="1" applyAlignment="1" applyProtection="1">
      <alignment horizontal="left" vertical="center" indent="2"/>
      <protection hidden="1"/>
    </xf>
    <xf numFmtId="14" fontId="3" fillId="34" borderId="14" xfId="0" applyNumberFormat="1" applyFont="1" applyFill="1" applyBorder="1" applyAlignment="1" applyProtection="1">
      <alignment horizontal="left" vertical="center" wrapText="1" indent="1"/>
      <protection hidden="1"/>
    </xf>
    <xf numFmtId="0" fontId="2" fillId="34" borderId="13" xfId="0" applyFont="1" applyFill="1" applyBorder="1" applyAlignment="1" applyProtection="1">
      <alignment horizontal="left" vertical="center" wrapText="1" indent="2"/>
      <protection hidden="1"/>
    </xf>
    <xf numFmtId="0" fontId="4" fillId="34" borderId="13" xfId="0" applyFont="1" applyFill="1" applyBorder="1" applyAlignment="1" applyProtection="1">
      <alignment horizontal="left" vertical="center"/>
      <protection hidden="1"/>
    </xf>
    <xf numFmtId="14" fontId="2" fillId="35" borderId="13" xfId="0" applyNumberFormat="1" applyFont="1" applyFill="1" applyBorder="1" applyAlignment="1" applyProtection="1">
      <alignment horizontal="center" vertical="center"/>
      <protection hidden="1"/>
    </xf>
    <xf numFmtId="14" fontId="3" fillId="34" borderId="15" xfId="0" applyNumberFormat="1" applyFont="1" applyFill="1" applyBorder="1" applyAlignment="1" applyProtection="1">
      <alignment horizontal="left" vertical="center" wrapText="1" indent="1"/>
      <protection hidden="1"/>
    </xf>
    <xf numFmtId="0" fontId="2" fillId="0" borderId="0" xfId="0" applyFont="1" applyFill="1" applyBorder="1" applyAlignment="1" applyProtection="1">
      <alignment horizontal="left" vertical="center" wrapText="1" indent="2"/>
      <protection hidden="1"/>
    </xf>
    <xf numFmtId="0" fontId="4" fillId="0" borderId="0" xfId="0" applyFont="1" applyFill="1" applyBorder="1" applyAlignment="1" applyProtection="1">
      <alignment horizontal="left" vertical="center"/>
      <protection hidden="1"/>
    </xf>
    <xf numFmtId="14" fontId="2" fillId="0" borderId="0" xfId="0" applyNumberFormat="1" applyFont="1" applyFill="1" applyBorder="1" applyAlignment="1" applyProtection="1">
      <alignment horizontal="center" vertical="center"/>
      <protection hidden="1"/>
    </xf>
    <xf numFmtId="14" fontId="3" fillId="0" borderId="0" xfId="0" applyNumberFormat="1" applyFont="1" applyFill="1" applyBorder="1" applyAlignment="1" applyProtection="1">
      <alignment horizontal="left" vertical="center" wrapText="1" indent="1"/>
      <protection hidden="1"/>
    </xf>
    <xf numFmtId="14" fontId="2" fillId="35" borderId="0" xfId="0" applyNumberFormat="1" applyFont="1" applyFill="1" applyBorder="1" applyAlignment="1" applyProtection="1">
      <alignment horizontal="center" vertical="center"/>
      <protection hidden="1"/>
    </xf>
    <xf numFmtId="172" fontId="47" fillId="0" borderId="0" xfId="0" applyNumberFormat="1" applyFont="1" applyFill="1" applyAlignment="1">
      <alignment horizontal="center" vertical="center"/>
    </xf>
    <xf numFmtId="0" fontId="95" fillId="34" borderId="0" xfId="0" applyFont="1" applyFill="1" applyBorder="1" applyAlignment="1" applyProtection="1">
      <alignment horizontal="left" vertical="center" indent="2"/>
      <protection hidden="1"/>
    </xf>
    <xf numFmtId="0" fontId="95" fillId="35" borderId="0" xfId="0" applyNumberFormat="1" applyFont="1" applyFill="1" applyBorder="1" applyAlignment="1" applyProtection="1">
      <alignment horizontal="center" vertical="center"/>
      <protection hidden="1"/>
    </xf>
    <xf numFmtId="0" fontId="0" fillId="0" borderId="0" xfId="0" applyFill="1" applyAlignment="1" applyProtection="1">
      <alignment/>
      <protection hidden="1"/>
    </xf>
    <xf numFmtId="172" fontId="96" fillId="34" borderId="0" xfId="0" applyNumberFormat="1" applyFont="1" applyFill="1" applyBorder="1" applyAlignment="1" applyProtection="1">
      <alignment horizontal="left" vertical="center" wrapText="1" indent="1"/>
      <protection hidden="1"/>
    </xf>
    <xf numFmtId="172" fontId="96" fillId="34" borderId="14" xfId="0" applyNumberFormat="1" applyFont="1" applyFill="1" applyBorder="1" applyAlignment="1" applyProtection="1">
      <alignment horizontal="left" vertical="center" wrapText="1" indent="1"/>
      <protection hidden="1"/>
    </xf>
    <xf numFmtId="172" fontId="2" fillId="35" borderId="13" xfId="0" applyNumberFormat="1" applyFont="1" applyFill="1" applyBorder="1" applyAlignment="1" applyProtection="1">
      <alignment horizontal="center" vertical="center"/>
      <protection hidden="1"/>
    </xf>
    <xf numFmtId="172" fontId="97" fillId="35" borderId="0" xfId="0" applyNumberFormat="1" applyFont="1" applyFill="1" applyBorder="1" applyAlignment="1" applyProtection="1">
      <alignment horizontal="center" vertical="center"/>
      <protection hidden="1"/>
    </xf>
    <xf numFmtId="14" fontId="3" fillId="34" borderId="0" xfId="0" applyNumberFormat="1" applyFont="1" applyFill="1" applyBorder="1" applyAlignment="1" applyProtection="1">
      <alignment horizontal="left" vertical="center" wrapText="1" indent="1"/>
      <protection hidden="1"/>
    </xf>
    <xf numFmtId="0" fontId="98" fillId="0" borderId="0" xfId="53" applyFont="1" applyFill="1" applyBorder="1" applyAlignment="1" applyProtection="1">
      <alignment horizontal="center" vertical="center" wrapText="1"/>
      <protection hidden="1"/>
    </xf>
    <xf numFmtId="172" fontId="92" fillId="0" borderId="0" xfId="0" applyNumberFormat="1" applyFont="1" applyFill="1" applyAlignment="1">
      <alignment horizontal="center" vertical="center"/>
    </xf>
    <xf numFmtId="0" fontId="99" fillId="36" borderId="16" xfId="0" applyFont="1" applyFill="1" applyBorder="1" applyAlignment="1">
      <alignment/>
    </xf>
    <xf numFmtId="0" fontId="3" fillId="34" borderId="0" xfId="0" applyFont="1" applyFill="1" applyBorder="1" applyAlignment="1" applyProtection="1">
      <alignment/>
      <protection hidden="1"/>
    </xf>
    <xf numFmtId="14" fontId="3" fillId="34" borderId="0" xfId="0" applyNumberFormat="1" applyFont="1" applyFill="1" applyBorder="1" applyAlignment="1" applyProtection="1">
      <alignment horizontal="center"/>
      <protection hidden="1"/>
    </xf>
    <xf numFmtId="0" fontId="2" fillId="34" borderId="0" xfId="0" applyFont="1" applyFill="1" applyBorder="1" applyAlignment="1" applyProtection="1">
      <alignment horizontal="left" vertical="top" indent="4"/>
      <protection hidden="1"/>
    </xf>
    <xf numFmtId="14" fontId="4" fillId="34" borderId="0" xfId="0" applyNumberFormat="1" applyFont="1" applyFill="1" applyBorder="1" applyAlignment="1" applyProtection="1">
      <alignment horizontal="center" vertical="center"/>
      <protection hidden="1"/>
    </xf>
    <xf numFmtId="0" fontId="94" fillId="34" borderId="0" xfId="0" applyNumberFormat="1" applyFont="1" applyFill="1" applyBorder="1" applyAlignment="1" applyProtection="1">
      <alignment horizontal="left" vertical="center" indent="1"/>
      <protection hidden="1"/>
    </xf>
    <xf numFmtId="0" fontId="93" fillId="33" borderId="17" xfId="0" applyFont="1" applyFill="1" applyBorder="1" applyAlignment="1" applyProtection="1">
      <alignment horizontal="left" vertical="center"/>
      <protection hidden="1"/>
    </xf>
    <xf numFmtId="0" fontId="93" fillId="36" borderId="17" xfId="0" applyFont="1" applyFill="1" applyBorder="1" applyAlignment="1" applyProtection="1">
      <alignment vertical="center"/>
      <protection hidden="1"/>
    </xf>
    <xf numFmtId="0" fontId="7" fillId="34" borderId="0" xfId="0" applyFont="1" applyFill="1" applyBorder="1" applyAlignment="1" applyProtection="1">
      <alignment horizontal="left" vertical="center" indent="2"/>
      <protection hidden="1"/>
    </xf>
    <xf numFmtId="0" fontId="6" fillId="34" borderId="0" xfId="0" applyFont="1" applyFill="1" applyBorder="1" applyAlignment="1" applyProtection="1">
      <alignment horizontal="left" vertical="center" wrapText="1" indent="2"/>
      <protection hidden="1"/>
    </xf>
    <xf numFmtId="0" fontId="6" fillId="34" borderId="0" xfId="0" applyFont="1" applyFill="1" applyBorder="1" applyAlignment="1" applyProtection="1">
      <alignment horizontal="left" vertical="center" indent="2"/>
      <protection hidden="1"/>
    </xf>
    <xf numFmtId="0" fontId="7" fillId="34" borderId="0" xfId="0" applyFont="1" applyFill="1" applyBorder="1" applyAlignment="1" applyProtection="1">
      <alignment horizontal="left" vertical="center"/>
      <protection hidden="1"/>
    </xf>
    <xf numFmtId="0" fontId="0" fillId="37" borderId="0" xfId="0" applyFill="1" applyAlignment="1">
      <alignment/>
    </xf>
    <xf numFmtId="0" fontId="0" fillId="0" borderId="0" xfId="0" applyAlignment="1" applyProtection="1">
      <alignment/>
      <protection hidden="1"/>
    </xf>
    <xf numFmtId="0" fontId="93" fillId="33" borderId="18" xfId="0" applyFont="1" applyFill="1" applyBorder="1" applyAlignment="1" applyProtection="1">
      <alignment horizontal="left" vertical="center"/>
      <protection hidden="1"/>
    </xf>
    <xf numFmtId="0" fontId="93" fillId="33" borderId="19" xfId="0" applyFont="1" applyFill="1" applyBorder="1" applyAlignment="1" applyProtection="1">
      <alignment horizontal="left" vertical="center"/>
      <protection hidden="1"/>
    </xf>
    <xf numFmtId="172" fontId="92" fillId="38" borderId="0" xfId="0" applyNumberFormat="1" applyFont="1" applyFill="1" applyAlignment="1">
      <alignment horizontal="center" vertical="center"/>
    </xf>
    <xf numFmtId="0" fontId="47" fillId="38" borderId="0" xfId="0" applyFont="1" applyFill="1" applyAlignment="1">
      <alignment horizontal="center" vertical="center"/>
    </xf>
    <xf numFmtId="0" fontId="47" fillId="0" borderId="0" xfId="0" applyFont="1" applyFill="1" applyAlignment="1">
      <alignment horizontal="center" vertical="top"/>
    </xf>
    <xf numFmtId="0" fontId="0" fillId="0" borderId="0" xfId="0" applyAlignment="1" applyProtection="1">
      <alignment vertical="top"/>
      <protection hidden="1"/>
    </xf>
    <xf numFmtId="0" fontId="6" fillId="35" borderId="20" xfId="53" applyFont="1" applyFill="1" applyBorder="1" applyAlignment="1" applyProtection="1">
      <alignment vertical="center"/>
      <protection hidden="1"/>
    </xf>
    <xf numFmtId="0" fontId="6" fillId="35" borderId="0" xfId="53" applyFont="1" applyFill="1" applyBorder="1" applyAlignment="1" applyProtection="1">
      <alignment vertical="center"/>
      <protection hidden="1"/>
    </xf>
    <xf numFmtId="0" fontId="6" fillId="35" borderId="14" xfId="53" applyFont="1" applyFill="1" applyBorder="1" applyAlignment="1" applyProtection="1">
      <alignment vertical="center"/>
      <protection hidden="1"/>
    </xf>
    <xf numFmtId="0" fontId="100" fillId="35" borderId="21" xfId="0" applyFont="1" applyFill="1" applyBorder="1" applyAlignment="1" applyProtection="1">
      <alignment vertical="center" wrapText="1"/>
      <protection hidden="1"/>
    </xf>
    <xf numFmtId="0" fontId="100" fillId="35" borderId="0" xfId="0" applyFont="1" applyFill="1" applyBorder="1" applyAlignment="1" applyProtection="1">
      <alignment vertical="center" wrapText="1"/>
      <protection hidden="1"/>
    </xf>
    <xf numFmtId="0" fontId="100" fillId="35" borderId="22" xfId="0" applyFont="1" applyFill="1" applyBorder="1" applyAlignment="1" applyProtection="1">
      <alignment vertical="center" wrapText="1"/>
      <protection hidden="1"/>
    </xf>
    <xf numFmtId="0" fontId="3" fillId="35" borderId="0" xfId="0" applyFont="1" applyFill="1" applyBorder="1" applyAlignment="1" applyProtection="1">
      <alignment horizontal="left" vertical="top" indent="5"/>
      <protection hidden="1"/>
    </xf>
    <xf numFmtId="0" fontId="3" fillId="35" borderId="0" xfId="0" applyFont="1" applyFill="1" applyBorder="1" applyAlignment="1" applyProtection="1">
      <alignment horizontal="center"/>
      <protection hidden="1"/>
    </xf>
    <xf numFmtId="172" fontId="3" fillId="35" borderId="0" xfId="0" applyNumberFormat="1" applyFont="1" applyFill="1" applyBorder="1" applyAlignment="1" applyProtection="1">
      <alignment horizontal="center"/>
      <protection hidden="1"/>
    </xf>
    <xf numFmtId="0" fontId="2" fillId="35" borderId="0" xfId="0" applyFont="1" applyFill="1" applyAlignment="1" applyProtection="1">
      <alignment/>
      <protection hidden="1"/>
    </xf>
    <xf numFmtId="172" fontId="77" fillId="35" borderId="0" xfId="0" applyNumberFormat="1" applyFont="1" applyFill="1" applyBorder="1" applyAlignment="1">
      <alignment/>
    </xf>
    <xf numFmtId="172" fontId="77" fillId="35" borderId="0" xfId="0" applyNumberFormat="1" applyFont="1" applyFill="1" applyBorder="1" applyAlignment="1">
      <alignment horizontal="left"/>
    </xf>
    <xf numFmtId="172" fontId="77" fillId="35" borderId="0" xfId="0" applyNumberFormat="1" applyFont="1" applyFill="1" applyAlignment="1" applyProtection="1">
      <alignment horizontal="left"/>
      <protection hidden="1"/>
    </xf>
    <xf numFmtId="172" fontId="77" fillId="35" borderId="0" xfId="0" applyNumberFormat="1" applyFont="1" applyFill="1" applyAlignment="1">
      <alignment/>
    </xf>
    <xf numFmtId="0" fontId="2" fillId="35" borderId="0" xfId="0" applyFont="1" applyFill="1" applyBorder="1" applyAlignment="1" applyProtection="1">
      <alignment horizontal="left" vertical="center" wrapText="1" indent="2"/>
      <protection hidden="1"/>
    </xf>
    <xf numFmtId="0" fontId="4" fillId="35" borderId="0" xfId="0" applyFont="1" applyFill="1" applyBorder="1" applyAlignment="1" applyProtection="1">
      <alignment horizontal="left" vertical="center"/>
      <protection hidden="1"/>
    </xf>
    <xf numFmtId="14" fontId="3" fillId="35" borderId="0" xfId="0" applyNumberFormat="1" applyFont="1" applyFill="1" applyBorder="1" applyAlignment="1" applyProtection="1">
      <alignment horizontal="left" vertical="center" wrapText="1" indent="1"/>
      <protection hidden="1"/>
    </xf>
    <xf numFmtId="0" fontId="100" fillId="35" borderId="0" xfId="0" applyFont="1" applyFill="1" applyBorder="1" applyAlignment="1" applyProtection="1">
      <alignment vertical="center"/>
      <protection hidden="1"/>
    </xf>
    <xf numFmtId="0" fontId="77" fillId="0" borderId="0" xfId="0" applyFont="1" applyFill="1" applyAlignment="1">
      <alignment horizontal="center" vertical="center"/>
    </xf>
    <xf numFmtId="0" fontId="100" fillId="35" borderId="0" xfId="0" applyFont="1" applyFill="1" applyBorder="1" applyAlignment="1" applyProtection="1">
      <alignment horizontal="center" vertical="center" wrapText="1"/>
      <protection hidden="1"/>
    </xf>
    <xf numFmtId="0" fontId="101" fillId="35" borderId="0" xfId="53" applyFont="1" applyFill="1" applyBorder="1" applyAlignment="1" applyProtection="1">
      <alignment horizontal="left" vertical="center"/>
      <protection hidden="1"/>
    </xf>
    <xf numFmtId="0" fontId="7" fillId="35" borderId="0" xfId="53" applyFont="1" applyFill="1" applyBorder="1" applyAlignment="1" applyProtection="1">
      <alignment vertical="center"/>
      <protection hidden="1"/>
    </xf>
    <xf numFmtId="0" fontId="7" fillId="35" borderId="0" xfId="53" applyFont="1" applyFill="1" applyBorder="1" applyAlignment="1" applyProtection="1">
      <alignment vertical="center" wrapText="1"/>
      <protection hidden="1"/>
    </xf>
    <xf numFmtId="0" fontId="100" fillId="35" borderId="0" xfId="0" applyFont="1" applyFill="1" applyBorder="1" applyAlignment="1" applyProtection="1">
      <alignment horizontal="left" vertical="center" wrapText="1"/>
      <protection hidden="1"/>
    </xf>
    <xf numFmtId="0" fontId="100" fillId="35" borderId="22" xfId="0" applyFont="1" applyFill="1" applyBorder="1" applyAlignment="1" applyProtection="1">
      <alignment horizontal="left" vertical="center" wrapText="1"/>
      <protection hidden="1"/>
    </xf>
    <xf numFmtId="0" fontId="102" fillId="0" borderId="0" xfId="0" applyFont="1" applyFill="1" applyAlignment="1">
      <alignment/>
    </xf>
    <xf numFmtId="0" fontId="103" fillId="35" borderId="0" xfId="0" applyFont="1" applyFill="1" applyAlignment="1">
      <alignment horizontal="center"/>
    </xf>
    <xf numFmtId="0" fontId="103" fillId="35" borderId="0" xfId="0" applyFont="1" applyFill="1" applyAlignment="1">
      <alignment/>
    </xf>
    <xf numFmtId="0" fontId="103" fillId="0" borderId="0" xfId="0" applyFont="1" applyFill="1" applyAlignment="1">
      <alignment horizontal="center"/>
    </xf>
    <xf numFmtId="0" fontId="103" fillId="0" borderId="0" xfId="0" applyFont="1" applyFill="1" applyAlignment="1">
      <alignment/>
    </xf>
    <xf numFmtId="0" fontId="104" fillId="33" borderId="23" xfId="53" applyFont="1" applyFill="1" applyBorder="1" applyAlignment="1" applyProtection="1">
      <alignment horizontal="right" vertical="top" indent="1"/>
      <protection hidden="1"/>
    </xf>
    <xf numFmtId="0" fontId="103" fillId="35" borderId="20" xfId="0" applyFont="1" applyFill="1" applyBorder="1" applyAlignment="1">
      <alignment horizontal="center"/>
    </xf>
    <xf numFmtId="0" fontId="105" fillId="35" borderId="0" xfId="0" applyFont="1" applyFill="1" applyBorder="1" applyAlignment="1">
      <alignment/>
    </xf>
    <xf numFmtId="0" fontId="103" fillId="35" borderId="14" xfId="0" applyFont="1" applyFill="1" applyBorder="1" applyAlignment="1">
      <alignment/>
    </xf>
    <xf numFmtId="0" fontId="106" fillId="35" borderId="24" xfId="0" applyFont="1" applyFill="1" applyBorder="1" applyAlignment="1">
      <alignment horizontal="center" vertical="center"/>
    </xf>
    <xf numFmtId="0" fontId="103" fillId="35" borderId="0" xfId="0" applyFont="1" applyFill="1" applyBorder="1" applyAlignment="1">
      <alignment horizontal="right"/>
    </xf>
    <xf numFmtId="0" fontId="103" fillId="35" borderId="25" xfId="0" applyFont="1" applyFill="1" applyBorder="1" applyAlignment="1">
      <alignment horizontal="center"/>
    </xf>
    <xf numFmtId="0" fontId="106" fillId="35" borderId="13" xfId="0" applyFont="1" applyFill="1" applyBorder="1" applyAlignment="1">
      <alignment horizontal="right"/>
    </xf>
    <xf numFmtId="0" fontId="3" fillId="34" borderId="13" xfId="0" applyFont="1" applyFill="1" applyBorder="1" applyAlignment="1" applyProtection="1">
      <alignment horizontal="left" vertical="center" indent="1"/>
      <protection hidden="1"/>
    </xf>
    <xf numFmtId="0" fontId="103" fillId="35" borderId="15" xfId="0" applyFont="1" applyFill="1" applyBorder="1" applyAlignment="1">
      <alignment/>
    </xf>
    <xf numFmtId="0" fontId="106" fillId="35" borderId="0" xfId="0" applyFont="1" applyFill="1" applyAlignment="1">
      <alignment horizontal="right"/>
    </xf>
    <xf numFmtId="0" fontId="3" fillId="35" borderId="0" xfId="0" applyFont="1" applyFill="1" applyBorder="1" applyAlignment="1" applyProtection="1">
      <alignment horizontal="left" vertical="center" indent="1"/>
      <protection hidden="1"/>
    </xf>
    <xf numFmtId="0" fontId="96" fillId="33" borderId="11" xfId="0" applyFont="1" applyFill="1" applyBorder="1" applyAlignment="1" applyProtection="1">
      <alignment/>
      <protection hidden="1"/>
    </xf>
    <xf numFmtId="0" fontId="104" fillId="33" borderId="11" xfId="53" applyFont="1" applyFill="1" applyBorder="1" applyAlignment="1" applyProtection="1">
      <alignment horizontal="right" vertical="top" indent="1"/>
      <protection hidden="1"/>
    </xf>
    <xf numFmtId="0" fontId="103" fillId="35" borderId="26" xfId="0" applyFont="1" applyFill="1" applyBorder="1" applyAlignment="1">
      <alignment horizontal="center"/>
    </xf>
    <xf numFmtId="0" fontId="105" fillId="35" borderId="12" xfId="0" applyFont="1" applyFill="1" applyBorder="1" applyAlignment="1">
      <alignment/>
    </xf>
    <xf numFmtId="0" fontId="103" fillId="35" borderId="27" xfId="0" applyFont="1" applyFill="1" applyBorder="1" applyAlignment="1">
      <alignment/>
    </xf>
    <xf numFmtId="0" fontId="102" fillId="35" borderId="20" xfId="0" applyFont="1" applyFill="1" applyBorder="1" applyAlignment="1">
      <alignment horizontal="right"/>
    </xf>
    <xf numFmtId="0" fontId="106" fillId="35" borderId="28" xfId="0" applyFont="1" applyFill="1" applyBorder="1" applyAlignment="1">
      <alignment horizontal="center" vertical="center"/>
    </xf>
    <xf numFmtId="0" fontId="106" fillId="35" borderId="0" xfId="0" applyFont="1" applyFill="1" applyBorder="1" applyAlignment="1">
      <alignment horizontal="right"/>
    </xf>
    <xf numFmtId="0" fontId="6" fillId="34" borderId="0" xfId="0" applyFont="1" applyFill="1" applyBorder="1" applyAlignment="1" applyProtection="1">
      <alignment horizontal="left" vertical="top" indent="4"/>
      <protection hidden="1"/>
    </xf>
    <xf numFmtId="0" fontId="102" fillId="35" borderId="20" xfId="0" applyFont="1" applyFill="1" applyBorder="1" applyAlignment="1">
      <alignment horizontal="center"/>
    </xf>
    <xf numFmtId="0" fontId="103" fillId="35" borderId="0" xfId="0" applyFont="1" applyFill="1" applyBorder="1" applyAlignment="1">
      <alignment horizontal="center" vertical="center"/>
    </xf>
    <xf numFmtId="0" fontId="103" fillId="35" borderId="13" xfId="0" applyFont="1" applyFill="1" applyBorder="1" applyAlignment="1">
      <alignment/>
    </xf>
    <xf numFmtId="0" fontId="103" fillId="35" borderId="13" xfId="0" applyFont="1" applyFill="1" applyBorder="1" applyAlignment="1">
      <alignment horizontal="right"/>
    </xf>
    <xf numFmtId="0" fontId="103" fillId="35" borderId="0" xfId="0" applyFont="1" applyFill="1" applyAlignment="1">
      <alignment horizontal="right"/>
    </xf>
    <xf numFmtId="0" fontId="106" fillId="35" borderId="20" xfId="0" applyFont="1" applyFill="1" applyBorder="1" applyAlignment="1">
      <alignment horizontal="center"/>
    </xf>
    <xf numFmtId="0" fontId="102" fillId="35" borderId="0" xfId="0" applyFont="1" applyFill="1" applyBorder="1" applyAlignment="1">
      <alignment horizontal="left"/>
    </xf>
    <xf numFmtId="0" fontId="106" fillId="35" borderId="0" xfId="0" applyFont="1" applyFill="1" applyBorder="1" applyAlignment="1">
      <alignment horizontal="center" vertical="center"/>
    </xf>
    <xf numFmtId="0" fontId="6" fillId="35" borderId="0" xfId="0" applyFont="1" applyFill="1" applyAlignment="1" applyProtection="1">
      <alignment/>
      <protection hidden="1"/>
    </xf>
    <xf numFmtId="0" fontId="7" fillId="34" borderId="0" xfId="0" applyFont="1" applyFill="1" applyBorder="1" applyAlignment="1" applyProtection="1">
      <alignment horizontal="right" vertical="center" wrapText="1"/>
      <protection hidden="1"/>
    </xf>
    <xf numFmtId="0" fontId="7" fillId="34" borderId="0" xfId="0" applyFont="1" applyFill="1" applyBorder="1" applyAlignment="1" applyProtection="1">
      <alignment horizontal="center" vertical="center" wrapText="1"/>
      <protection hidden="1"/>
    </xf>
    <xf numFmtId="14" fontId="7" fillId="34" borderId="29" xfId="0" applyNumberFormat="1" applyFont="1" applyFill="1" applyBorder="1" applyAlignment="1" applyProtection="1">
      <alignment horizontal="center" vertical="center"/>
      <protection hidden="1"/>
    </xf>
    <xf numFmtId="0" fontId="103" fillId="35" borderId="0" xfId="0" applyFont="1" applyFill="1" applyBorder="1" applyAlignment="1">
      <alignment horizontal="left"/>
    </xf>
    <xf numFmtId="0" fontId="103" fillId="35" borderId="0" xfId="0" applyFont="1" applyFill="1" applyBorder="1" applyAlignment="1">
      <alignment/>
    </xf>
    <xf numFmtId="172" fontId="106" fillId="35" borderId="20" xfId="0" applyNumberFormat="1" applyFont="1" applyFill="1" applyBorder="1" applyAlignment="1">
      <alignment horizontal="center"/>
    </xf>
    <xf numFmtId="0" fontId="6" fillId="34" borderId="30" xfId="0" applyFont="1" applyFill="1" applyBorder="1" applyAlignment="1" applyProtection="1">
      <alignment horizontal="center" vertical="center" wrapText="1"/>
      <protection hidden="1"/>
    </xf>
    <xf numFmtId="172" fontId="107" fillId="35" borderId="20" xfId="0" applyNumberFormat="1" applyFont="1" applyFill="1" applyBorder="1" applyAlignment="1">
      <alignment horizontal="center"/>
    </xf>
    <xf numFmtId="14" fontId="6" fillId="39" borderId="30" xfId="0" applyNumberFormat="1" applyFont="1" applyFill="1" applyBorder="1" applyAlignment="1" applyProtection="1">
      <alignment horizontal="center" vertical="center" wrapText="1"/>
      <protection locked="0"/>
    </xf>
    <xf numFmtId="14" fontId="6" fillId="39" borderId="30" xfId="0" applyNumberFormat="1" applyFont="1" applyFill="1" applyBorder="1" applyAlignment="1" applyProtection="1">
      <alignment horizontal="center" vertical="center"/>
      <protection locked="0"/>
    </xf>
    <xf numFmtId="0" fontId="4" fillId="35" borderId="14" xfId="0" applyFont="1" applyFill="1" applyBorder="1" applyAlignment="1" applyProtection="1">
      <alignment horizontal="left" vertical="center"/>
      <protection hidden="1"/>
    </xf>
    <xf numFmtId="172" fontId="107" fillId="0" borderId="0" xfId="0" applyNumberFormat="1" applyFont="1" applyFill="1" applyBorder="1" applyAlignment="1">
      <alignment/>
    </xf>
    <xf numFmtId="14" fontId="6" fillId="39" borderId="31" xfId="0" applyNumberFormat="1" applyFont="1" applyFill="1" applyBorder="1" applyAlignment="1" applyProtection="1">
      <alignment horizontal="center" vertical="center" wrapText="1"/>
      <protection hidden="1" locked="0"/>
    </xf>
    <xf numFmtId="14" fontId="6" fillId="39" borderId="31" xfId="0" applyNumberFormat="1" applyFont="1" applyFill="1" applyBorder="1" applyAlignment="1" applyProtection="1">
      <alignment horizontal="center" vertical="center"/>
      <protection hidden="1" locked="0"/>
    </xf>
    <xf numFmtId="14" fontId="6" fillId="39" borderId="32" xfId="0" applyNumberFormat="1" applyFont="1" applyFill="1" applyBorder="1" applyAlignment="1" applyProtection="1">
      <alignment horizontal="center" vertical="center" wrapText="1"/>
      <protection hidden="1" locked="0"/>
    </xf>
    <xf numFmtId="14" fontId="6" fillId="39" borderId="32" xfId="0" applyNumberFormat="1" applyFont="1" applyFill="1" applyBorder="1" applyAlignment="1" applyProtection="1">
      <alignment horizontal="center" vertical="center"/>
      <protection hidden="1" locked="0"/>
    </xf>
    <xf numFmtId="0" fontId="102" fillId="35" borderId="0" xfId="0" applyFont="1" applyFill="1" applyBorder="1" applyAlignment="1">
      <alignment horizontal="center" vertical="center"/>
    </xf>
    <xf numFmtId="1" fontId="102" fillId="35" borderId="0" xfId="0" applyNumberFormat="1" applyFont="1" applyFill="1" applyBorder="1" applyAlignment="1" applyProtection="1">
      <alignment horizontal="center" vertical="center" wrapText="1"/>
      <protection hidden="1"/>
    </xf>
    <xf numFmtId="1" fontId="108" fillId="35" borderId="0" xfId="0" applyNumberFormat="1" applyFont="1" applyFill="1" applyBorder="1" applyAlignment="1">
      <alignment horizontal="center" vertical="center"/>
    </xf>
    <xf numFmtId="172" fontId="106" fillId="35" borderId="20" xfId="0" applyNumberFormat="1" applyFont="1" applyFill="1" applyBorder="1" applyAlignment="1">
      <alignment horizontal="left"/>
    </xf>
    <xf numFmtId="0" fontId="102" fillId="35" borderId="0" xfId="0" applyFont="1" applyFill="1" applyBorder="1" applyAlignment="1">
      <alignment horizontal="right"/>
    </xf>
    <xf numFmtId="0" fontId="7" fillId="34" borderId="0" xfId="0" applyFont="1" applyFill="1" applyBorder="1" applyAlignment="1" applyProtection="1">
      <alignment horizontal="right" vertical="center" indent="2"/>
      <protection hidden="1"/>
    </xf>
    <xf numFmtId="0" fontId="6" fillId="34" borderId="0" xfId="0" applyFont="1" applyFill="1" applyBorder="1" applyAlignment="1" applyProtection="1">
      <alignment/>
      <protection hidden="1"/>
    </xf>
    <xf numFmtId="0" fontId="2" fillId="34" borderId="13" xfId="0" applyFont="1" applyFill="1" applyBorder="1" applyAlignment="1" applyProtection="1">
      <alignment/>
      <protection hidden="1"/>
    </xf>
    <xf numFmtId="0" fontId="103" fillId="35" borderId="0" xfId="0" applyFont="1" applyFill="1" applyBorder="1" applyAlignment="1">
      <alignment horizontal="center"/>
    </xf>
    <xf numFmtId="0" fontId="2" fillId="34" borderId="0" xfId="0" applyFont="1" applyFill="1" applyBorder="1" applyAlignment="1" applyProtection="1">
      <alignment/>
      <protection hidden="1"/>
    </xf>
    <xf numFmtId="0" fontId="2" fillId="35" borderId="0" xfId="53" applyFont="1" applyFill="1" applyBorder="1" applyAlignment="1" applyProtection="1">
      <alignment horizontal="left" vertical="center"/>
      <protection hidden="1"/>
    </xf>
    <xf numFmtId="0" fontId="109" fillId="35" borderId="0" xfId="53" applyFont="1" applyFill="1" applyBorder="1" applyAlignment="1" applyProtection="1">
      <alignment vertical="center" wrapText="1"/>
      <protection hidden="1"/>
    </xf>
    <xf numFmtId="0" fontId="6" fillId="35" borderId="20" xfId="0" applyFont="1" applyFill="1" applyBorder="1" applyAlignment="1" applyProtection="1">
      <alignment horizontal="left" vertical="center"/>
      <protection hidden="1"/>
    </xf>
    <xf numFmtId="0" fontId="6" fillId="35" borderId="0" xfId="0" applyFont="1" applyFill="1" applyBorder="1" applyAlignment="1" applyProtection="1">
      <alignment horizontal="left"/>
      <protection hidden="1"/>
    </xf>
    <xf numFmtId="0" fontId="7" fillId="35" borderId="0" xfId="0" applyFont="1" applyFill="1" applyBorder="1" applyAlignment="1" applyProtection="1">
      <alignment horizontal="center" vertical="center"/>
      <protection hidden="1"/>
    </xf>
    <xf numFmtId="0" fontId="7" fillId="35" borderId="14" xfId="0" applyFont="1" applyFill="1" applyBorder="1" applyAlignment="1" applyProtection="1">
      <alignment horizontal="center" vertical="center"/>
      <protection hidden="1"/>
    </xf>
    <xf numFmtId="0" fontId="6" fillId="0" borderId="2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14" fillId="35" borderId="20" xfId="0" applyFont="1" applyFill="1" applyBorder="1" applyAlignment="1">
      <alignment horizontal="center"/>
    </xf>
    <xf numFmtId="0" fontId="7" fillId="35" borderId="0" xfId="0" applyFont="1" applyFill="1" applyBorder="1" applyAlignment="1">
      <alignment/>
    </xf>
    <xf numFmtId="0" fontId="3" fillId="35" borderId="0" xfId="0" applyFont="1" applyFill="1" applyBorder="1" applyAlignment="1" applyProtection="1">
      <alignment/>
      <protection hidden="1"/>
    </xf>
    <xf numFmtId="14" fontId="3" fillId="35" borderId="0" xfId="0" applyNumberFormat="1" applyFont="1" applyFill="1" applyBorder="1" applyAlignment="1" applyProtection="1">
      <alignment horizontal="center"/>
      <protection hidden="1"/>
    </xf>
    <xf numFmtId="0" fontId="14" fillId="35" borderId="14" xfId="0" applyFont="1" applyFill="1" applyBorder="1" applyAlignment="1">
      <alignment/>
    </xf>
    <xf numFmtId="0" fontId="6" fillId="0" borderId="29" xfId="0" applyFont="1" applyFill="1" applyBorder="1" applyAlignment="1">
      <alignment/>
    </xf>
    <xf numFmtId="0" fontId="6" fillId="0" borderId="29" xfId="0" applyFont="1" applyFill="1" applyBorder="1" applyAlignment="1" applyProtection="1">
      <alignment horizontal="left" vertical="center" indent="2"/>
      <protection hidden="1"/>
    </xf>
    <xf numFmtId="49" fontId="6" fillId="0" borderId="29" xfId="0" applyNumberFormat="1" applyFont="1" applyFill="1" applyBorder="1" applyAlignment="1" applyProtection="1">
      <alignment wrapText="1"/>
      <protection hidden="1"/>
    </xf>
    <xf numFmtId="49" fontId="6" fillId="40" borderId="29" xfId="0" applyNumberFormat="1" applyFont="1" applyFill="1" applyBorder="1" applyAlignment="1" applyProtection="1">
      <alignment horizontal="left" wrapText="1" indent="1"/>
      <protection locked="0"/>
    </xf>
    <xf numFmtId="0" fontId="6" fillId="35" borderId="33" xfId="0" applyFont="1" applyFill="1" applyBorder="1" applyAlignment="1">
      <alignment/>
    </xf>
    <xf numFmtId="0" fontId="6" fillId="35" borderId="33" xfId="0" applyFont="1" applyFill="1" applyBorder="1" applyAlignment="1" applyProtection="1">
      <alignment horizontal="left" vertical="center" indent="2"/>
      <protection hidden="1"/>
    </xf>
    <xf numFmtId="173" fontId="6" fillId="35" borderId="29" xfId="0" applyNumberFormat="1" applyFont="1" applyFill="1" applyBorder="1" applyAlignment="1" applyProtection="1">
      <alignment wrapText="1"/>
      <protection hidden="1"/>
    </xf>
    <xf numFmtId="49" fontId="6" fillId="40" borderId="33" xfId="0" applyNumberFormat="1" applyFont="1" applyFill="1" applyBorder="1" applyAlignment="1" applyProtection="1">
      <alignment horizontal="left" wrapText="1" indent="1"/>
      <protection locked="0"/>
    </xf>
    <xf numFmtId="0" fontId="6" fillId="35" borderId="0" xfId="0" applyFont="1" applyFill="1" applyBorder="1" applyAlignment="1">
      <alignment/>
    </xf>
    <xf numFmtId="0" fontId="6" fillId="35" borderId="29" xfId="0" applyFont="1" applyFill="1" applyBorder="1" applyAlignment="1">
      <alignment/>
    </xf>
    <xf numFmtId="0" fontId="6" fillId="34" borderId="29" xfId="0" applyFont="1" applyFill="1" applyBorder="1" applyAlignment="1" applyProtection="1">
      <alignment horizontal="left" vertical="center" indent="2"/>
      <protection hidden="1"/>
    </xf>
    <xf numFmtId="0" fontId="2" fillId="35" borderId="0" xfId="0" applyFont="1" applyFill="1" applyBorder="1" applyAlignment="1">
      <alignment/>
    </xf>
    <xf numFmtId="0" fontId="2" fillId="35" borderId="0" xfId="0" applyFont="1" applyFill="1" applyBorder="1" applyAlignment="1" applyProtection="1">
      <alignment horizontal="left" vertical="center" indent="2"/>
      <protection hidden="1"/>
    </xf>
    <xf numFmtId="0" fontId="2" fillId="35" borderId="0" xfId="0" applyNumberFormat="1" applyFont="1" applyFill="1" applyBorder="1" applyAlignment="1" applyProtection="1">
      <alignment horizontal="center" vertical="center"/>
      <protection hidden="1"/>
    </xf>
    <xf numFmtId="0" fontId="18" fillId="35" borderId="0" xfId="0" applyNumberFormat="1" applyFont="1" applyFill="1" applyBorder="1" applyAlignment="1" applyProtection="1">
      <alignment horizontal="left" vertical="center" wrapText="1" indent="1"/>
      <protection hidden="1"/>
    </xf>
    <xf numFmtId="14" fontId="5" fillId="35" borderId="0" xfId="0" applyNumberFormat="1" applyFont="1" applyFill="1" applyBorder="1" applyAlignment="1" applyProtection="1">
      <alignment horizontal="left" vertical="center" wrapText="1" indent="1"/>
      <protection hidden="1"/>
    </xf>
    <xf numFmtId="0" fontId="6" fillId="35" borderId="0" xfId="0" applyFont="1" applyFill="1" applyBorder="1" applyAlignment="1" applyProtection="1">
      <alignment horizontal="left" vertical="center" indent="2"/>
      <protection hidden="1"/>
    </xf>
    <xf numFmtId="0" fontId="6" fillId="35" borderId="0" xfId="0" applyFont="1" applyFill="1" applyBorder="1" applyAlignment="1" applyProtection="1">
      <alignment horizontal="left" vertical="center" wrapText="1" indent="2"/>
      <protection hidden="1"/>
    </xf>
    <xf numFmtId="0" fontId="7" fillId="35" borderId="0" xfId="0" applyFont="1" applyFill="1" applyBorder="1" applyAlignment="1" applyProtection="1">
      <alignment horizontal="left" vertical="center"/>
      <protection hidden="1"/>
    </xf>
    <xf numFmtId="0" fontId="19" fillId="35" borderId="0" xfId="0" applyNumberFormat="1" applyFont="1" applyFill="1" applyBorder="1" applyAlignment="1" applyProtection="1">
      <alignment horizontal="left" vertical="center" wrapText="1" indent="1"/>
      <protection hidden="1"/>
    </xf>
    <xf numFmtId="14" fontId="17" fillId="35" borderId="0" xfId="0" applyNumberFormat="1" applyFont="1" applyFill="1" applyBorder="1" applyAlignment="1" applyProtection="1">
      <alignment horizontal="left" vertical="center" wrapText="1" indent="1"/>
      <protection hidden="1"/>
    </xf>
    <xf numFmtId="0" fontId="6" fillId="35" borderId="0" xfId="0" applyFont="1" applyFill="1" applyBorder="1" applyAlignment="1" applyProtection="1">
      <alignment horizontal="center" vertical="center"/>
      <protection hidden="1"/>
    </xf>
    <xf numFmtId="49" fontId="6" fillId="40" borderId="34" xfId="0" applyNumberFormat="1" applyFont="1" applyFill="1" applyBorder="1" applyAlignment="1" applyProtection="1">
      <alignment horizontal="center"/>
      <protection locked="0"/>
    </xf>
    <xf numFmtId="4" fontId="6" fillId="40" borderId="30" xfId="0" applyNumberFormat="1" applyFont="1" applyFill="1" applyBorder="1" applyAlignment="1" applyProtection="1">
      <alignment horizontal="right" vertical="center" wrapText="1"/>
      <protection locked="0"/>
    </xf>
    <xf numFmtId="49" fontId="6" fillId="40" borderId="35" xfId="0" applyNumberFormat="1" applyFont="1" applyFill="1" applyBorder="1" applyAlignment="1" applyProtection="1">
      <alignment horizontal="center"/>
      <protection locked="0"/>
    </xf>
    <xf numFmtId="49" fontId="6" fillId="40" borderId="36" xfId="0" applyNumberFormat="1" applyFont="1" applyFill="1" applyBorder="1" applyAlignment="1" applyProtection="1">
      <alignment horizontal="center"/>
      <protection locked="0"/>
    </xf>
    <xf numFmtId="49" fontId="6" fillId="0" borderId="36" xfId="0" applyNumberFormat="1" applyFont="1" applyFill="1" applyBorder="1" applyAlignment="1" applyProtection="1">
      <alignment horizontal="center"/>
      <protection locked="0"/>
    </xf>
    <xf numFmtId="4" fontId="6" fillId="35" borderId="30" xfId="0" applyNumberFormat="1" applyFont="1" applyFill="1" applyBorder="1" applyAlignment="1" applyProtection="1">
      <alignment horizontal="right" vertical="center" wrapText="1"/>
      <protection locked="0"/>
    </xf>
    <xf numFmtId="0" fontId="14" fillId="35" borderId="0" xfId="0" applyFont="1" applyFill="1" applyBorder="1" applyAlignment="1">
      <alignment/>
    </xf>
    <xf numFmtId="0" fontId="14" fillId="35" borderId="37" xfId="0" applyFont="1" applyFill="1" applyBorder="1" applyAlignment="1">
      <alignment horizontal="center"/>
    </xf>
    <xf numFmtId="0" fontId="14" fillId="35" borderId="38" xfId="0" applyFont="1" applyFill="1" applyBorder="1" applyAlignment="1">
      <alignment/>
    </xf>
    <xf numFmtId="0" fontId="107" fillId="34" borderId="38" xfId="0" applyFont="1" applyFill="1" applyBorder="1" applyAlignment="1" applyProtection="1">
      <alignment/>
      <protection hidden="1"/>
    </xf>
    <xf numFmtId="0" fontId="14" fillId="34" borderId="39" xfId="0" applyFont="1" applyFill="1" applyBorder="1" applyAlignment="1" applyProtection="1">
      <alignment/>
      <protection hidden="1"/>
    </xf>
    <xf numFmtId="0" fontId="14" fillId="35" borderId="38" xfId="0" applyFont="1" applyFill="1" applyBorder="1" applyAlignment="1" applyProtection="1">
      <alignment/>
      <protection hidden="1"/>
    </xf>
    <xf numFmtId="0" fontId="14" fillId="35" borderId="40" xfId="0" applyFont="1" applyFill="1" applyBorder="1" applyAlignment="1">
      <alignment/>
    </xf>
    <xf numFmtId="0" fontId="109" fillId="35" borderId="0" xfId="53" applyFont="1" applyFill="1" applyBorder="1" applyAlignment="1" applyProtection="1">
      <alignment horizontal="center" vertical="center" wrapText="1"/>
      <protection hidden="1"/>
    </xf>
    <xf numFmtId="49" fontId="103" fillId="35" borderId="0" xfId="0" applyNumberFormat="1" applyFont="1" applyFill="1" applyAlignment="1" applyProtection="1" quotePrefix="1">
      <alignment horizontal="left" vertical="top"/>
      <protection/>
    </xf>
    <xf numFmtId="0" fontId="102" fillId="35" borderId="0" xfId="0" applyFont="1" applyFill="1" applyAlignment="1" applyProtection="1">
      <alignment vertical="top"/>
      <protection/>
    </xf>
    <xf numFmtId="0" fontId="103" fillId="35" borderId="0" xfId="0" applyFont="1" applyFill="1" applyAlignment="1" applyProtection="1">
      <alignment vertical="top"/>
      <protection/>
    </xf>
    <xf numFmtId="0" fontId="103" fillId="35" borderId="0" xfId="0" applyFont="1" applyFill="1" applyAlignment="1" applyProtection="1" quotePrefix="1">
      <alignment horizontal="left"/>
      <protection/>
    </xf>
    <xf numFmtId="0" fontId="102" fillId="35" borderId="0" xfId="0" applyFont="1" applyFill="1" applyAlignment="1" applyProtection="1">
      <alignment/>
      <protection/>
    </xf>
    <xf numFmtId="0" fontId="103" fillId="35" borderId="0" xfId="0" applyFont="1" applyFill="1" applyAlignment="1" applyProtection="1">
      <alignment/>
      <protection/>
    </xf>
    <xf numFmtId="0" fontId="2" fillId="35" borderId="0" xfId="53" applyFont="1" applyFill="1" applyAlignment="1" applyProtection="1">
      <alignment horizontal="right"/>
      <protection/>
    </xf>
    <xf numFmtId="0" fontId="110" fillId="35" borderId="0" xfId="0" applyFont="1" applyFill="1" applyAlignment="1" applyProtection="1">
      <alignment horizontal="right"/>
      <protection/>
    </xf>
    <xf numFmtId="0" fontId="2" fillId="35" borderId="0" xfId="0" applyFont="1" applyFill="1" applyAlignment="1" applyProtection="1">
      <alignment/>
      <protection/>
    </xf>
    <xf numFmtId="0" fontId="110" fillId="35" borderId="0" xfId="0" applyFont="1" applyFill="1" applyAlignment="1" applyProtection="1">
      <alignment horizontal="left"/>
      <protection/>
    </xf>
    <xf numFmtId="0" fontId="102" fillId="35" borderId="0" xfId="0" applyFont="1" applyFill="1" applyAlignment="1" applyProtection="1">
      <alignment horizontal="right"/>
      <protection/>
    </xf>
    <xf numFmtId="0" fontId="103" fillId="35" borderId="0" xfId="0" applyFont="1" applyFill="1" applyBorder="1" applyAlignment="1" applyProtection="1" quotePrefix="1">
      <alignment horizontal="left"/>
      <protection/>
    </xf>
    <xf numFmtId="0" fontId="102" fillId="35" borderId="0" xfId="0" applyFont="1" applyFill="1" applyBorder="1" applyAlignment="1" applyProtection="1">
      <alignment vertical="top"/>
      <protection/>
    </xf>
    <xf numFmtId="0" fontId="103" fillId="35" borderId="0" xfId="0" applyFont="1" applyFill="1" applyBorder="1" applyAlignment="1" applyProtection="1">
      <alignment/>
      <protection/>
    </xf>
    <xf numFmtId="0" fontId="111" fillId="35" borderId="0" xfId="0" applyFont="1" applyFill="1" applyBorder="1" applyAlignment="1" applyProtection="1">
      <alignment horizontal="right"/>
      <protection/>
    </xf>
    <xf numFmtId="0" fontId="102" fillId="35" borderId="0" xfId="0" applyFont="1" applyFill="1" applyBorder="1" applyAlignment="1" applyProtection="1">
      <alignment/>
      <protection/>
    </xf>
    <xf numFmtId="0" fontId="111" fillId="35" borderId="0" xfId="0" applyFont="1" applyFill="1" applyBorder="1" applyAlignment="1" applyProtection="1">
      <alignment horizontal="center"/>
      <protection hidden="1"/>
    </xf>
    <xf numFmtId="0" fontId="103" fillId="35" borderId="0" xfId="0" applyFont="1" applyFill="1" applyBorder="1" applyAlignment="1" applyProtection="1" quotePrefix="1">
      <alignment horizontal="center"/>
      <protection/>
    </xf>
    <xf numFmtId="0" fontId="2" fillId="35" borderId="0" xfId="53" applyFont="1" applyFill="1" applyBorder="1" applyAlignment="1" applyProtection="1">
      <alignment vertical="top"/>
      <protection/>
    </xf>
    <xf numFmtId="0" fontId="109" fillId="0" borderId="0" xfId="53" applyFont="1" applyFill="1" applyBorder="1" applyAlignment="1" applyProtection="1">
      <alignment horizontal="center" vertical="center" wrapText="1"/>
      <protection hidden="1"/>
    </xf>
    <xf numFmtId="0" fontId="103" fillId="0" borderId="0" xfId="0" applyFont="1" applyFill="1" applyAlignment="1">
      <alignment horizontal="right"/>
    </xf>
    <xf numFmtId="0" fontId="109" fillId="0" borderId="0" xfId="53" applyFont="1" applyFill="1" applyBorder="1" applyAlignment="1" applyProtection="1">
      <alignment vertical="center" wrapText="1"/>
      <protection hidden="1"/>
    </xf>
    <xf numFmtId="0" fontId="103" fillId="0" borderId="0" xfId="0" applyFont="1" applyAlignment="1">
      <alignment horizontal="left" vertical="top" wrapText="1"/>
    </xf>
    <xf numFmtId="0" fontId="4" fillId="0" borderId="0" xfId="0" applyFont="1" applyFill="1" applyBorder="1" applyAlignment="1" applyProtection="1">
      <alignment/>
      <protection hidden="1"/>
    </xf>
    <xf numFmtId="0" fontId="20" fillId="0" borderId="0" xfId="0" applyFont="1" applyFill="1" applyAlignment="1" applyProtection="1">
      <alignment/>
      <protection hidden="1"/>
    </xf>
    <xf numFmtId="0" fontId="4" fillId="0" borderId="0" xfId="0" applyFont="1" applyFill="1" applyAlignment="1" applyProtection="1">
      <alignment/>
      <protection hidden="1"/>
    </xf>
    <xf numFmtId="0" fontId="103" fillId="0" borderId="0" xfId="0" applyFont="1" applyAlignment="1">
      <alignment/>
    </xf>
    <xf numFmtId="0" fontId="103" fillId="0" borderId="0" xfId="0" applyFont="1" applyFill="1" applyAlignment="1">
      <alignment horizontal="center" vertical="top"/>
    </xf>
    <xf numFmtId="0" fontId="103" fillId="0" borderId="0" xfId="0" applyFont="1" applyFill="1" applyAlignment="1">
      <alignment vertical="top"/>
    </xf>
    <xf numFmtId="0" fontId="2" fillId="0" borderId="0" xfId="0" applyFont="1" applyFill="1" applyAlignment="1" applyProtection="1">
      <alignment vertical="top"/>
      <protection hidden="1"/>
    </xf>
    <xf numFmtId="0" fontId="111" fillId="35" borderId="0" xfId="53" applyFont="1" applyFill="1" applyBorder="1" applyAlignment="1" applyProtection="1">
      <alignment horizontal="left"/>
      <protection hidden="1"/>
    </xf>
    <xf numFmtId="0" fontId="111" fillId="35" borderId="0" xfId="53" applyFont="1" applyFill="1" applyBorder="1" applyAlignment="1" applyProtection="1">
      <alignment/>
      <protection/>
    </xf>
    <xf numFmtId="0" fontId="77" fillId="35" borderId="0" xfId="0" applyFont="1" applyFill="1" applyAlignment="1">
      <alignment/>
    </xf>
    <xf numFmtId="0" fontId="77" fillId="35" borderId="0" xfId="0" applyFont="1" applyFill="1" applyBorder="1" applyAlignment="1">
      <alignment/>
    </xf>
    <xf numFmtId="0" fontId="77" fillId="35" borderId="21" xfId="0" applyFont="1" applyFill="1" applyBorder="1" applyAlignment="1">
      <alignment/>
    </xf>
    <xf numFmtId="172" fontId="77" fillId="35" borderId="0" xfId="0" applyNumberFormat="1" applyFont="1" applyFill="1" applyAlignment="1" applyProtection="1">
      <alignment/>
      <protection hidden="1"/>
    </xf>
    <xf numFmtId="0" fontId="77" fillId="35" borderId="0" xfId="0" applyFont="1" applyFill="1" applyAlignment="1">
      <alignment vertical="top"/>
    </xf>
    <xf numFmtId="172" fontId="106" fillId="35" borderId="0" xfId="0" applyNumberFormat="1" applyFont="1" applyFill="1" applyAlignment="1">
      <alignment/>
    </xf>
    <xf numFmtId="172" fontId="106" fillId="35" borderId="0" xfId="0" applyNumberFormat="1" applyFont="1" applyFill="1" applyBorder="1" applyAlignment="1">
      <alignment/>
    </xf>
    <xf numFmtId="0" fontId="77" fillId="35" borderId="0" xfId="0" applyFont="1" applyFill="1" applyAlignment="1">
      <alignment horizontal="right"/>
    </xf>
    <xf numFmtId="0" fontId="77" fillId="35" borderId="22" xfId="0" applyFont="1" applyFill="1" applyBorder="1" applyAlignment="1">
      <alignment/>
    </xf>
    <xf numFmtId="0" fontId="77" fillId="35" borderId="0" xfId="0" applyFont="1" applyFill="1" applyAlignment="1">
      <alignment wrapText="1"/>
    </xf>
    <xf numFmtId="0" fontId="47" fillId="35" borderId="0" xfId="0" applyFont="1" applyFill="1" applyAlignment="1">
      <alignment/>
    </xf>
    <xf numFmtId="0" fontId="47" fillId="0" borderId="0" xfId="0" applyFont="1" applyAlignment="1" applyProtection="1">
      <alignment/>
      <protection hidden="1"/>
    </xf>
    <xf numFmtId="0" fontId="47" fillId="0" borderId="0" xfId="0" applyFont="1" applyFill="1" applyAlignment="1" applyProtection="1">
      <alignment/>
      <protection hidden="1"/>
    </xf>
    <xf numFmtId="0" fontId="47" fillId="0" borderId="0" xfId="0" applyFont="1" applyAlignment="1" applyProtection="1">
      <alignment vertical="top"/>
      <protection hidden="1"/>
    </xf>
    <xf numFmtId="0" fontId="6" fillId="35" borderId="29" xfId="0" applyFont="1" applyFill="1" applyBorder="1" applyAlignment="1" applyProtection="1">
      <alignment wrapText="1"/>
      <protection hidden="1"/>
    </xf>
    <xf numFmtId="0" fontId="94" fillId="34" borderId="0" xfId="0" applyNumberFormat="1" applyFont="1" applyFill="1" applyBorder="1" applyAlignment="1" applyProtection="1">
      <alignment horizontal="left" vertical="center"/>
      <protection hidden="1"/>
    </xf>
    <xf numFmtId="0" fontId="94" fillId="34" borderId="0" xfId="0" applyNumberFormat="1" applyFont="1" applyFill="1" applyBorder="1" applyAlignment="1" applyProtection="1">
      <alignment horizontal="right" vertical="center" wrapText="1"/>
      <protection hidden="1"/>
    </xf>
    <xf numFmtId="0" fontId="77" fillId="37" borderId="0" xfId="0" applyFont="1" applyFill="1" applyAlignment="1">
      <alignment/>
    </xf>
    <xf numFmtId="0" fontId="77" fillId="0" borderId="0" xfId="0" applyFont="1" applyFill="1" applyAlignment="1">
      <alignment/>
    </xf>
    <xf numFmtId="0" fontId="77" fillId="0" borderId="0" xfId="0" applyFont="1" applyFill="1" applyBorder="1" applyAlignment="1">
      <alignment/>
    </xf>
    <xf numFmtId="172" fontId="77" fillId="0" borderId="0" xfId="0" applyNumberFormat="1" applyFont="1" applyFill="1" applyBorder="1" applyAlignment="1">
      <alignment/>
    </xf>
    <xf numFmtId="0" fontId="77" fillId="0" borderId="0" xfId="0" applyFont="1" applyFill="1" applyBorder="1" applyAlignment="1">
      <alignment horizontal="center"/>
    </xf>
    <xf numFmtId="172" fontId="77" fillId="0" borderId="0" xfId="0" applyNumberFormat="1" applyFont="1" applyFill="1" applyBorder="1" applyAlignment="1">
      <alignment horizontal="left"/>
    </xf>
    <xf numFmtId="0" fontId="77" fillId="0" borderId="0" xfId="0" applyFont="1" applyFill="1" applyBorder="1" applyAlignment="1">
      <alignment horizontal="right"/>
    </xf>
    <xf numFmtId="0" fontId="77" fillId="0" borderId="0" xfId="0" applyNumberFormat="1" applyFont="1" applyFill="1" applyBorder="1" applyAlignment="1" applyProtection="1">
      <alignment horizontal="center"/>
      <protection hidden="1"/>
    </xf>
    <xf numFmtId="0" fontId="77" fillId="0" borderId="0" xfId="0" applyFont="1" applyFill="1" applyBorder="1" applyAlignment="1" applyProtection="1">
      <alignment/>
      <protection hidden="1"/>
    </xf>
    <xf numFmtId="0" fontId="77" fillId="0" borderId="0" xfId="0" applyNumberFormat="1" applyFont="1" applyFill="1" applyBorder="1" applyAlignment="1" applyProtection="1">
      <alignment/>
      <protection hidden="1"/>
    </xf>
    <xf numFmtId="14" fontId="77" fillId="0" borderId="0" xfId="0" applyNumberFormat="1" applyFont="1" applyFill="1" applyBorder="1" applyAlignment="1">
      <alignment horizontal="right"/>
    </xf>
    <xf numFmtId="14" fontId="77" fillId="0" borderId="0" xfId="0" applyNumberFormat="1" applyFont="1" applyFill="1" applyBorder="1" applyAlignment="1">
      <alignment horizontal="center"/>
    </xf>
    <xf numFmtId="0" fontId="77" fillId="0" borderId="0" xfId="0" applyFont="1" applyFill="1" applyBorder="1" applyAlignment="1" applyProtection="1">
      <alignment horizontal="right"/>
      <protection hidden="1"/>
    </xf>
    <xf numFmtId="1" fontId="77" fillId="0" borderId="0" xfId="0" applyNumberFormat="1" applyFont="1" applyFill="1" applyBorder="1" applyAlignment="1" applyProtection="1">
      <alignment horizontal="center"/>
      <protection hidden="1"/>
    </xf>
    <xf numFmtId="1" fontId="77" fillId="0" borderId="0" xfId="0" applyNumberFormat="1" applyFont="1" applyFill="1" applyBorder="1" applyAlignment="1" applyProtection="1">
      <alignment/>
      <protection hidden="1"/>
    </xf>
    <xf numFmtId="14" fontId="77" fillId="0" borderId="0" xfId="0" applyNumberFormat="1" applyFont="1" applyFill="1" applyBorder="1" applyAlignment="1">
      <alignment/>
    </xf>
    <xf numFmtId="14" fontId="77" fillId="0" borderId="0" xfId="0" applyNumberFormat="1" applyFont="1" applyFill="1" applyBorder="1" applyAlignment="1" applyProtection="1">
      <alignment/>
      <protection hidden="1"/>
    </xf>
    <xf numFmtId="14" fontId="77" fillId="0" borderId="0" xfId="0" applyNumberFormat="1" applyFont="1" applyFill="1" applyBorder="1" applyAlignment="1" applyProtection="1">
      <alignment horizontal="center"/>
      <protection hidden="1"/>
    </xf>
    <xf numFmtId="1" fontId="77" fillId="0" borderId="0" xfId="0" applyNumberFormat="1" applyFont="1" applyFill="1" applyBorder="1" applyAlignment="1">
      <alignment horizontal="center"/>
    </xf>
    <xf numFmtId="0" fontId="112" fillId="0" borderId="0" xfId="0" applyFont="1" applyFill="1" applyBorder="1" applyAlignment="1" applyProtection="1">
      <alignment horizontal="left"/>
      <protection hidden="1"/>
    </xf>
    <xf numFmtId="14" fontId="113" fillId="0" borderId="0" xfId="0" applyNumberFormat="1" applyFont="1" applyFill="1" applyBorder="1" applyAlignment="1" applyProtection="1">
      <alignment horizontal="center"/>
      <protection hidden="1"/>
    </xf>
    <xf numFmtId="14" fontId="113" fillId="0" borderId="0" xfId="0" applyNumberFormat="1" applyFont="1" applyFill="1" applyBorder="1" applyAlignment="1" applyProtection="1">
      <alignment/>
      <protection hidden="1"/>
    </xf>
    <xf numFmtId="1" fontId="77" fillId="0" borderId="0" xfId="0" applyNumberFormat="1" applyFont="1" applyFill="1" applyBorder="1" applyAlignment="1">
      <alignment/>
    </xf>
    <xf numFmtId="0" fontId="77" fillId="0" borderId="0" xfId="0" applyNumberFormat="1" applyFont="1" applyFill="1" applyBorder="1" applyAlignment="1" applyProtection="1">
      <alignment horizontal="center" wrapText="1"/>
      <protection hidden="1"/>
    </xf>
    <xf numFmtId="0" fontId="77" fillId="0" borderId="0" xfId="0" applyFont="1" applyFill="1" applyBorder="1" applyAlignment="1">
      <alignment horizontal="left"/>
    </xf>
    <xf numFmtId="14" fontId="77" fillId="0" borderId="0" xfId="0" applyNumberFormat="1" applyFont="1" applyFill="1" applyBorder="1" applyAlignment="1">
      <alignment horizontal="left"/>
    </xf>
    <xf numFmtId="0" fontId="80" fillId="0" borderId="0" xfId="0" applyFont="1" applyFill="1" applyBorder="1" applyAlignment="1">
      <alignment/>
    </xf>
    <xf numFmtId="0" fontId="80" fillId="0" borderId="0" xfId="0" applyFont="1" applyFill="1" applyBorder="1" applyAlignment="1">
      <alignment horizontal="right"/>
    </xf>
    <xf numFmtId="0" fontId="77" fillId="0" borderId="0" xfId="0" applyFont="1" applyFill="1" applyBorder="1" applyAlignment="1" quotePrefix="1">
      <alignment horizontal="center" vertical="center"/>
    </xf>
    <xf numFmtId="49" fontId="77" fillId="0" borderId="0" xfId="0" applyNumberFormat="1" applyFont="1" applyFill="1" applyBorder="1" applyAlignment="1">
      <alignment/>
    </xf>
    <xf numFmtId="0" fontId="77" fillId="0" borderId="0" xfId="0" applyFont="1" applyFill="1" applyBorder="1" applyAlignment="1">
      <alignment horizontal="center" vertical="center"/>
    </xf>
    <xf numFmtId="0" fontId="77" fillId="0" borderId="0" xfId="0" applyNumberFormat="1" applyFont="1" applyFill="1" applyBorder="1" applyAlignment="1">
      <alignment/>
    </xf>
    <xf numFmtId="0" fontId="77" fillId="0" borderId="0" xfId="0" applyNumberFormat="1" applyFont="1" applyFill="1" applyBorder="1" applyAlignment="1" quotePrefix="1">
      <alignment/>
    </xf>
    <xf numFmtId="0" fontId="80" fillId="0" borderId="0" xfId="0" applyFont="1" applyFill="1" applyBorder="1" applyAlignment="1" quotePrefix="1">
      <alignment/>
    </xf>
    <xf numFmtId="0" fontId="77" fillId="0" borderId="0" xfId="0" applyFont="1" applyFill="1" applyBorder="1" applyAlignment="1" quotePrefix="1">
      <alignment/>
    </xf>
    <xf numFmtId="0" fontId="114" fillId="0" borderId="0" xfId="0" applyFont="1" applyFill="1" applyBorder="1" applyAlignment="1">
      <alignment vertical="top" wrapText="1"/>
    </xf>
    <xf numFmtId="0" fontId="114" fillId="0" borderId="0" xfId="0" applyFont="1" applyFill="1" applyBorder="1" applyAlignment="1">
      <alignment horizontal="center" vertical="top" wrapText="1"/>
    </xf>
    <xf numFmtId="0" fontId="115" fillId="0" borderId="0" xfId="0" applyFont="1" applyFill="1" applyBorder="1" applyAlignment="1">
      <alignment horizontal="center" vertical="top" wrapText="1"/>
    </xf>
    <xf numFmtId="0" fontId="116" fillId="0" borderId="0" xfId="0" applyFont="1" applyFill="1" applyBorder="1" applyAlignment="1">
      <alignment wrapText="1"/>
    </xf>
    <xf numFmtId="0" fontId="116" fillId="0" borderId="0" xfId="0" applyFont="1" applyFill="1" applyBorder="1" applyAlignment="1">
      <alignment horizontal="center" vertical="top" wrapText="1"/>
    </xf>
    <xf numFmtId="49" fontId="116" fillId="0" borderId="0" xfId="0" applyNumberFormat="1" applyFont="1" applyFill="1" applyBorder="1" applyAlignment="1">
      <alignment horizontal="center" vertical="top" wrapText="1"/>
    </xf>
    <xf numFmtId="178" fontId="117" fillId="0" borderId="0" xfId="0" applyNumberFormat="1" applyFont="1" applyFill="1" applyBorder="1" applyAlignment="1">
      <alignment horizontal="center"/>
    </xf>
    <xf numFmtId="0" fontId="116" fillId="0" borderId="0" xfId="0" applyFont="1" applyFill="1" applyBorder="1" applyAlignment="1">
      <alignment horizontal="center" wrapText="1"/>
    </xf>
    <xf numFmtId="0" fontId="116" fillId="0" borderId="0" xfId="0" applyFont="1" applyFill="1" applyBorder="1" applyAlignment="1">
      <alignment vertical="top" wrapText="1"/>
    </xf>
    <xf numFmtId="3" fontId="116" fillId="0" borderId="0" xfId="0" applyNumberFormat="1" applyFont="1" applyFill="1" applyBorder="1" applyAlignment="1">
      <alignment horizontal="center" vertical="top" wrapText="1"/>
    </xf>
    <xf numFmtId="0" fontId="77" fillId="0" borderId="0" xfId="0" applyFont="1" applyFill="1" applyBorder="1" applyAlignment="1">
      <alignment horizontal="center" wrapText="1"/>
    </xf>
    <xf numFmtId="0" fontId="77" fillId="0" borderId="0" xfId="0" applyFont="1" applyFill="1" applyBorder="1" applyAlignment="1">
      <alignment wrapText="1"/>
    </xf>
    <xf numFmtId="0" fontId="77" fillId="0" borderId="0" xfId="0" applyNumberFormat="1" applyFont="1" applyFill="1" applyBorder="1" applyAlignment="1">
      <alignment horizontal="center"/>
    </xf>
    <xf numFmtId="0" fontId="118" fillId="0" borderId="0" xfId="0" applyFont="1" applyFill="1" applyBorder="1" applyAlignment="1">
      <alignment/>
    </xf>
    <xf numFmtId="0" fontId="119" fillId="0" borderId="0" xfId="0" applyFont="1" applyFill="1" applyBorder="1" applyAlignment="1">
      <alignment/>
    </xf>
    <xf numFmtId="0" fontId="120" fillId="0" borderId="0" xfId="0" applyFont="1" applyFill="1" applyBorder="1" applyAlignment="1">
      <alignment/>
    </xf>
    <xf numFmtId="0" fontId="118" fillId="0" borderId="0" xfId="0" applyFont="1" applyFill="1" applyBorder="1" applyAlignment="1">
      <alignment vertical="top"/>
    </xf>
    <xf numFmtId="0" fontId="118" fillId="0" borderId="0" xfId="0" applyFont="1" applyFill="1" applyBorder="1" applyAlignment="1">
      <alignment horizontal="center" vertical="top" wrapText="1"/>
    </xf>
    <xf numFmtId="0" fontId="80" fillId="0" borderId="0" xfId="0" applyFont="1" applyFill="1" applyBorder="1" applyAlignment="1">
      <alignment horizontal="left" vertical="top"/>
    </xf>
    <xf numFmtId="0" fontId="118" fillId="0" borderId="0" xfId="0" applyFont="1" applyFill="1" applyBorder="1" applyAlignment="1" quotePrefix="1">
      <alignment vertical="top"/>
    </xf>
    <xf numFmtId="0" fontId="77" fillId="0" borderId="0" xfId="0" applyFont="1" applyFill="1" applyBorder="1" applyAlignment="1">
      <alignment vertical="top"/>
    </xf>
    <xf numFmtId="0" fontId="77" fillId="0" borderId="0" xfId="0" applyFont="1" applyFill="1" applyBorder="1" applyAlignment="1">
      <alignment horizontal="center" vertical="top" wrapText="1"/>
    </xf>
    <xf numFmtId="0" fontId="77" fillId="0" borderId="0" xfId="0" applyFont="1" applyFill="1" applyBorder="1" applyAlignment="1" quotePrefix="1">
      <alignment vertical="top"/>
    </xf>
    <xf numFmtId="0" fontId="80" fillId="0" borderId="0" xfId="0" applyFont="1" applyFill="1" applyBorder="1" applyAlignment="1">
      <alignment horizontal="center"/>
    </xf>
    <xf numFmtId="0" fontId="80" fillId="0" borderId="0" xfId="0" applyFont="1" applyFill="1" applyBorder="1" applyAlignment="1">
      <alignment/>
    </xf>
    <xf numFmtId="0" fontId="77" fillId="0" borderId="0" xfId="0" applyFont="1" applyFill="1" applyBorder="1" applyAlignment="1">
      <alignment/>
    </xf>
    <xf numFmtId="177" fontId="77" fillId="0" borderId="0" xfId="0" applyNumberFormat="1" applyFont="1" applyFill="1" applyBorder="1" applyAlignment="1" quotePrefix="1">
      <alignment horizontal="right"/>
    </xf>
    <xf numFmtId="0" fontId="77" fillId="0" borderId="0" xfId="0" applyFont="1" applyFill="1" applyBorder="1" applyAlignment="1">
      <alignment vertical="top" wrapText="1"/>
    </xf>
    <xf numFmtId="0" fontId="77" fillId="0" borderId="0" xfId="0" applyFont="1" applyFill="1" applyBorder="1" applyAlignment="1">
      <alignment horizontal="right" vertical="top"/>
    </xf>
    <xf numFmtId="177" fontId="77" fillId="0" borderId="0" xfId="0" applyNumberFormat="1" applyFont="1" applyFill="1" applyBorder="1" applyAlignment="1" quotePrefix="1">
      <alignment horizontal="right" vertical="top"/>
    </xf>
    <xf numFmtId="0" fontId="77" fillId="0" borderId="0" xfId="0" applyFont="1" applyFill="1" applyBorder="1" applyAlignment="1">
      <alignment horizontal="right" vertical="top" wrapText="1"/>
    </xf>
    <xf numFmtId="0" fontId="80" fillId="0" borderId="0" xfId="0" applyFont="1" applyFill="1" applyBorder="1" applyAlignment="1">
      <alignment horizontal="right" vertical="top" wrapText="1"/>
    </xf>
    <xf numFmtId="0" fontId="77" fillId="0" borderId="0" xfId="0" applyFont="1" applyFill="1" applyBorder="1" applyAlignment="1" quotePrefix="1">
      <alignment horizontal="left" vertical="top"/>
    </xf>
    <xf numFmtId="0" fontId="121" fillId="0" borderId="0" xfId="0" applyFont="1" applyFill="1" applyBorder="1" applyAlignment="1">
      <alignment wrapText="1"/>
    </xf>
    <xf numFmtId="0" fontId="80" fillId="0" borderId="0" xfId="0" applyFont="1" applyFill="1" applyBorder="1" applyAlignment="1">
      <alignment horizontal="center" vertical="top"/>
    </xf>
    <xf numFmtId="0" fontId="80" fillId="0" borderId="0" xfId="0" applyFont="1" applyFill="1" applyBorder="1" applyAlignment="1">
      <alignment vertical="top"/>
    </xf>
    <xf numFmtId="0" fontId="77" fillId="0" borderId="0" xfId="0" applyFont="1" applyAlignment="1" applyProtection="1">
      <alignment/>
      <protection hidden="1"/>
    </xf>
    <xf numFmtId="0" fontId="77" fillId="0" borderId="0" xfId="0" applyFont="1" applyFill="1" applyBorder="1" applyAlignment="1" applyProtection="1">
      <alignment vertical="top"/>
      <protection hidden="1"/>
    </xf>
    <xf numFmtId="0" fontId="77" fillId="0" borderId="0" xfId="0" applyFont="1" applyAlignment="1">
      <alignment/>
    </xf>
    <xf numFmtId="0" fontId="118" fillId="0" borderId="0" xfId="0" applyFont="1" applyFill="1" applyBorder="1" applyAlignment="1">
      <alignment horizontal="left" vertical="top" wrapText="1"/>
    </xf>
    <xf numFmtId="0" fontId="6" fillId="35" borderId="33" xfId="0" applyFont="1" applyFill="1" applyBorder="1" applyAlignment="1">
      <alignment horizontal="left"/>
    </xf>
    <xf numFmtId="49" fontId="6" fillId="40" borderId="29" xfId="0" applyNumberFormat="1" applyFont="1" applyFill="1" applyBorder="1" applyAlignment="1" applyProtection="1">
      <alignment horizontal="left" wrapText="1"/>
      <protection locked="0"/>
    </xf>
    <xf numFmtId="0" fontId="6" fillId="35" borderId="29" xfId="0" applyFont="1" applyFill="1" applyBorder="1" applyAlignment="1">
      <alignment horizontal="left"/>
    </xf>
    <xf numFmtId="173" fontId="6" fillId="40" borderId="33" xfId="0" applyNumberFormat="1" applyFont="1" applyFill="1" applyBorder="1" applyAlignment="1" applyProtection="1">
      <alignment horizontal="center" wrapText="1"/>
      <protection hidden="1"/>
    </xf>
    <xf numFmtId="0" fontId="80" fillId="0" borderId="0" xfId="0" applyFont="1" applyFill="1" applyBorder="1" applyAlignment="1">
      <alignment horizontal="left" vertical="top" wrapText="1"/>
    </xf>
    <xf numFmtId="0" fontId="120" fillId="0" borderId="0" xfId="0" applyFont="1" applyFill="1" applyBorder="1" applyAlignment="1">
      <alignment horizontal="left" vertical="top" wrapText="1"/>
    </xf>
    <xf numFmtId="0" fontId="77" fillId="0" borderId="0" xfId="0" applyFont="1" applyFill="1" applyBorder="1" applyAlignment="1">
      <alignment horizontal="left" vertical="top" wrapText="1"/>
    </xf>
    <xf numFmtId="0" fontId="77" fillId="0" borderId="0" xfId="0" applyFont="1" applyFill="1" applyBorder="1" applyAlignment="1">
      <alignment horizontal="left" vertical="top"/>
    </xf>
    <xf numFmtId="0" fontId="121" fillId="0" borderId="0" xfId="0" applyFont="1" applyFill="1" applyBorder="1" applyAlignment="1">
      <alignment horizontal="left" wrapText="1"/>
    </xf>
    <xf numFmtId="0" fontId="23" fillId="0" borderId="0" xfId="53" applyFont="1" applyFill="1" applyBorder="1" applyAlignment="1" applyProtection="1">
      <alignment horizontal="center" vertical="center" wrapText="1"/>
      <protection hidden="1"/>
    </xf>
    <xf numFmtId="0" fontId="14" fillId="39" borderId="41" xfId="0" applyNumberFormat="1" applyFont="1" applyFill="1" applyBorder="1" applyAlignment="1" applyProtection="1">
      <alignment horizontal="center" vertical="center"/>
      <protection hidden="1" locked="0"/>
    </xf>
    <xf numFmtId="0" fontId="14" fillId="39" borderId="42" xfId="0" applyNumberFormat="1" applyFont="1" applyFill="1" applyBorder="1" applyAlignment="1" applyProtection="1">
      <alignment horizontal="center" vertical="center"/>
      <protection hidden="1" locked="0"/>
    </xf>
    <xf numFmtId="0" fontId="14" fillId="39" borderId="43" xfId="0" applyNumberFormat="1" applyFont="1" applyFill="1" applyBorder="1" applyAlignment="1" applyProtection="1">
      <alignment horizontal="center" vertical="center"/>
      <protection hidden="1" locked="0"/>
    </xf>
    <xf numFmtId="0" fontId="102" fillId="35" borderId="30" xfId="0" applyFont="1" applyFill="1" applyBorder="1" applyAlignment="1">
      <alignment horizontal="center" vertical="center"/>
    </xf>
    <xf numFmtId="1" fontId="102" fillId="35" borderId="30" xfId="0" applyNumberFormat="1" applyFont="1" applyFill="1" applyBorder="1" applyAlignment="1" applyProtection="1">
      <alignment horizontal="center" vertical="center" wrapText="1"/>
      <protection hidden="1"/>
    </xf>
    <xf numFmtId="0" fontId="112" fillId="0" borderId="0" xfId="0" applyFont="1" applyFill="1" applyBorder="1" applyAlignment="1" applyProtection="1">
      <alignment horizontal="center"/>
      <protection hidden="1"/>
    </xf>
    <xf numFmtId="0" fontId="112" fillId="0" borderId="0" xfId="0" applyFont="1" applyFill="1" applyBorder="1" applyAlignment="1" applyProtection="1">
      <alignment horizontal="left"/>
      <protection hidden="1"/>
    </xf>
    <xf numFmtId="0" fontId="102" fillId="35" borderId="30" xfId="0" applyFont="1" applyFill="1" applyBorder="1" applyAlignment="1">
      <alignment horizontal="center"/>
    </xf>
    <xf numFmtId="14" fontId="6" fillId="35" borderId="30" xfId="0" applyNumberFormat="1" applyFont="1" applyFill="1" applyBorder="1" applyAlignment="1" applyProtection="1">
      <alignment horizontal="center" vertical="center"/>
      <protection hidden="1"/>
    </xf>
    <xf numFmtId="14" fontId="7" fillId="34" borderId="29" xfId="0" applyNumberFormat="1" applyFont="1" applyFill="1" applyBorder="1" applyAlignment="1" applyProtection="1">
      <alignment horizontal="center" vertical="center"/>
      <protection hidden="1"/>
    </xf>
    <xf numFmtId="0" fontId="122" fillId="41" borderId="0" xfId="0" applyNumberFormat="1" applyFont="1" applyFill="1" applyBorder="1" applyAlignment="1" applyProtection="1">
      <alignment horizontal="center" wrapText="1"/>
      <protection hidden="1"/>
    </xf>
    <xf numFmtId="0" fontId="106" fillId="41" borderId="0" xfId="53" applyNumberFormat="1" applyFont="1" applyFill="1" applyBorder="1" applyAlignment="1" applyProtection="1">
      <alignment horizontal="center" vertical="center"/>
      <protection hidden="1"/>
    </xf>
    <xf numFmtId="0" fontId="17" fillId="34" borderId="0" xfId="0" applyFont="1" applyFill="1" applyBorder="1" applyAlignment="1" applyProtection="1">
      <alignment horizontal="left" vertical="top" wrapText="1"/>
      <protection hidden="1"/>
    </xf>
    <xf numFmtId="0" fontId="102" fillId="35" borderId="44" xfId="0" applyFont="1" applyFill="1" applyBorder="1" applyAlignment="1">
      <alignment horizontal="center" vertical="center"/>
    </xf>
    <xf numFmtId="0" fontId="102" fillId="35" borderId="45" xfId="0" applyFont="1" applyFill="1" applyBorder="1" applyAlignment="1">
      <alignment horizontal="center" vertical="center"/>
    </xf>
    <xf numFmtId="1" fontId="102" fillId="35" borderId="31" xfId="0" applyNumberFormat="1" applyFont="1" applyFill="1" applyBorder="1" applyAlignment="1" applyProtection="1">
      <alignment horizontal="center" vertical="center" wrapText="1"/>
      <protection hidden="1"/>
    </xf>
    <xf numFmtId="0" fontId="102" fillId="35" borderId="46" xfId="0" applyFont="1" applyFill="1" applyBorder="1" applyAlignment="1">
      <alignment horizontal="center" vertical="center"/>
    </xf>
    <xf numFmtId="0" fontId="102" fillId="35" borderId="47" xfId="0" applyFont="1" applyFill="1" applyBorder="1" applyAlignment="1">
      <alignment horizontal="center" vertical="center"/>
    </xf>
    <xf numFmtId="1" fontId="102" fillId="35" borderId="32" xfId="0" applyNumberFormat="1" applyFont="1" applyFill="1" applyBorder="1" applyAlignment="1" applyProtection="1">
      <alignment horizontal="center" vertical="center" wrapText="1"/>
      <protection hidden="1"/>
    </xf>
    <xf numFmtId="0" fontId="25" fillId="35" borderId="0" xfId="0" applyNumberFormat="1" applyFont="1" applyFill="1" applyBorder="1" applyAlignment="1" applyProtection="1">
      <alignment horizontal="center" vertical="center"/>
      <protection hidden="1"/>
    </xf>
    <xf numFmtId="0" fontId="100" fillId="35" borderId="0" xfId="0" applyFont="1" applyFill="1" applyBorder="1" applyAlignment="1" applyProtection="1">
      <alignment horizontal="left" vertical="center" wrapText="1"/>
      <protection hidden="1"/>
    </xf>
    <xf numFmtId="0" fontId="123" fillId="41" borderId="48" xfId="0" applyNumberFormat="1" applyFont="1" applyFill="1" applyBorder="1" applyAlignment="1" applyProtection="1">
      <alignment horizontal="center" vertical="center" wrapText="1"/>
      <protection hidden="1"/>
    </xf>
    <xf numFmtId="0" fontId="123" fillId="41" borderId="33" xfId="0" applyNumberFormat="1" applyFont="1" applyFill="1" applyBorder="1" applyAlignment="1" applyProtection="1">
      <alignment horizontal="center" vertical="center" wrapText="1"/>
      <protection hidden="1"/>
    </xf>
    <xf numFmtId="0" fontId="123" fillId="41" borderId="49" xfId="0" applyNumberFormat="1" applyFont="1" applyFill="1" applyBorder="1" applyAlignment="1" applyProtection="1">
      <alignment horizontal="center" vertical="center" wrapText="1"/>
      <protection hidden="1"/>
    </xf>
    <xf numFmtId="0" fontId="100" fillId="35" borderId="22" xfId="0" applyFont="1" applyFill="1" applyBorder="1" applyAlignment="1" applyProtection="1">
      <alignment horizontal="left" vertical="center" wrapText="1"/>
      <protection hidden="1"/>
    </xf>
    <xf numFmtId="0" fontId="101" fillId="35" borderId="0" xfId="0" applyFont="1" applyFill="1" applyBorder="1" applyAlignment="1" applyProtection="1">
      <alignment horizontal="left" vertical="center"/>
      <protection hidden="1"/>
    </xf>
    <xf numFmtId="0" fontId="124" fillId="35" borderId="0" xfId="0" applyFont="1" applyFill="1" applyBorder="1" applyAlignment="1" applyProtection="1">
      <alignment horizontal="right" vertical="center" wrapText="1"/>
      <protection hidden="1"/>
    </xf>
    <xf numFmtId="0" fontId="101" fillId="35" borderId="0" xfId="0" applyFont="1" applyFill="1" applyBorder="1" applyAlignment="1" applyProtection="1">
      <alignment horizontal="center" vertical="center"/>
      <protection hidden="1"/>
    </xf>
    <xf numFmtId="0" fontId="124" fillId="35" borderId="0" xfId="0" applyFont="1" applyFill="1" applyBorder="1" applyAlignment="1" applyProtection="1">
      <alignment horizontal="left" vertical="center" wrapText="1"/>
      <protection hidden="1"/>
    </xf>
    <xf numFmtId="0" fontId="100" fillId="35" borderId="50" xfId="0" applyFont="1" applyFill="1" applyBorder="1" applyAlignment="1" applyProtection="1">
      <alignment horizontal="left" vertical="center" wrapText="1"/>
      <protection hidden="1"/>
    </xf>
    <xf numFmtId="0" fontId="100" fillId="35" borderId="29" xfId="0" applyFont="1" applyFill="1" applyBorder="1" applyAlignment="1" applyProtection="1">
      <alignment horizontal="left" vertical="center" wrapText="1"/>
      <protection hidden="1"/>
    </xf>
    <xf numFmtId="0" fontId="100" fillId="35" borderId="51" xfId="0" applyFont="1" applyFill="1" applyBorder="1" applyAlignment="1" applyProtection="1">
      <alignment horizontal="left" vertical="center" wrapText="1"/>
      <protection hidden="1"/>
    </xf>
    <xf numFmtId="0" fontId="97" fillId="41" borderId="48" xfId="0" applyNumberFormat="1" applyFont="1" applyFill="1" applyBorder="1" applyAlignment="1" applyProtection="1">
      <alignment horizontal="center" vertical="center" wrapText="1"/>
      <protection hidden="1"/>
    </xf>
    <xf numFmtId="0" fontId="97" fillId="41" borderId="33" xfId="0" applyNumberFormat="1" applyFont="1" applyFill="1" applyBorder="1" applyAlignment="1" applyProtection="1">
      <alignment horizontal="center" vertical="center" wrapText="1"/>
      <protection hidden="1"/>
    </xf>
    <xf numFmtId="0" fontId="97" fillId="41" borderId="49" xfId="0" applyNumberFormat="1" applyFont="1" applyFill="1" applyBorder="1" applyAlignment="1" applyProtection="1">
      <alignment horizontal="center" vertical="center" wrapText="1"/>
      <protection hidden="1"/>
    </xf>
    <xf numFmtId="173" fontId="6" fillId="40" borderId="33" xfId="0" applyNumberFormat="1" applyFont="1" applyFill="1" applyBorder="1" applyAlignment="1" applyProtection="1">
      <alignment horizontal="center" wrapText="1"/>
      <protection locked="0"/>
    </xf>
    <xf numFmtId="49" fontId="6" fillId="40" borderId="29" xfId="0" applyNumberFormat="1" applyFont="1" applyFill="1" applyBorder="1" applyAlignment="1" applyProtection="1">
      <alignment horizontal="center" wrapText="1"/>
      <protection locked="0"/>
    </xf>
    <xf numFmtId="0" fontId="6" fillId="35" borderId="33" xfId="0" applyFont="1" applyFill="1" applyBorder="1" applyAlignment="1" applyProtection="1">
      <alignment horizontal="left" wrapText="1"/>
      <protection locked="0"/>
    </xf>
    <xf numFmtId="0" fontId="21" fillId="35" borderId="52" xfId="0" applyFont="1" applyFill="1" applyBorder="1" applyAlignment="1">
      <alignment horizontal="center" vertical="center" wrapText="1"/>
    </xf>
    <xf numFmtId="0" fontId="21" fillId="35" borderId="53" xfId="0" applyFont="1" applyFill="1" applyBorder="1" applyAlignment="1">
      <alignment horizontal="center" vertical="center"/>
    </xf>
    <xf numFmtId="0" fontId="21" fillId="35" borderId="54" xfId="0" applyFont="1" applyFill="1" applyBorder="1" applyAlignment="1">
      <alignment horizontal="center" vertical="center"/>
    </xf>
    <xf numFmtId="0" fontId="21" fillId="35" borderId="50" xfId="0" applyFont="1" applyFill="1" applyBorder="1" applyAlignment="1">
      <alignment horizontal="center" vertical="center"/>
    </xf>
    <xf numFmtId="0" fontId="21" fillId="35" borderId="29" xfId="0" applyFont="1" applyFill="1" applyBorder="1" applyAlignment="1">
      <alignment horizontal="center" vertical="center"/>
    </xf>
    <xf numFmtId="0" fontId="21" fillId="35" borderId="51" xfId="0" applyFont="1" applyFill="1" applyBorder="1" applyAlignment="1">
      <alignment horizontal="center" vertical="center"/>
    </xf>
    <xf numFmtId="0" fontId="21" fillId="35" borderId="34" xfId="0" applyFont="1" applyFill="1" applyBorder="1" applyAlignment="1">
      <alignment horizontal="center" vertical="center" wrapText="1"/>
    </xf>
    <xf numFmtId="0" fontId="21" fillId="35" borderId="36" xfId="0" applyFont="1" applyFill="1" applyBorder="1" applyAlignment="1">
      <alignment horizontal="center" vertical="center"/>
    </xf>
    <xf numFmtId="0" fontId="21" fillId="35" borderId="48" xfId="0" applyFont="1" applyFill="1" applyBorder="1" applyAlignment="1">
      <alignment horizontal="center"/>
    </xf>
    <xf numFmtId="0" fontId="21" fillId="35" borderId="33" xfId="0" applyFont="1" applyFill="1" applyBorder="1" applyAlignment="1">
      <alignment horizontal="center"/>
    </xf>
    <xf numFmtId="0" fontId="21" fillId="35" borderId="49" xfId="0" applyFont="1" applyFill="1" applyBorder="1" applyAlignment="1">
      <alignment horizontal="center"/>
    </xf>
    <xf numFmtId="14" fontId="6" fillId="35" borderId="48" xfId="0" applyNumberFormat="1" applyFont="1" applyFill="1" applyBorder="1" applyAlignment="1" applyProtection="1">
      <alignment horizontal="center" vertical="center"/>
      <protection hidden="1"/>
    </xf>
    <xf numFmtId="14" fontId="6" fillId="35" borderId="49" xfId="0" applyNumberFormat="1" applyFont="1" applyFill="1" applyBorder="1" applyAlignment="1" applyProtection="1">
      <alignment horizontal="center" vertical="center"/>
      <protection hidden="1"/>
    </xf>
    <xf numFmtId="49" fontId="6" fillId="40" borderId="52" xfId="0" applyNumberFormat="1" applyFont="1" applyFill="1" applyBorder="1" applyAlignment="1" applyProtection="1">
      <alignment horizontal="left"/>
      <protection locked="0"/>
    </xf>
    <xf numFmtId="49" fontId="6" fillId="40" borderId="53" xfId="0" applyNumberFormat="1" applyFont="1" applyFill="1" applyBorder="1" applyAlignment="1" applyProtection="1">
      <alignment horizontal="left"/>
      <protection locked="0"/>
    </xf>
    <xf numFmtId="49" fontId="6" fillId="40" borderId="54" xfId="0" applyNumberFormat="1" applyFont="1" applyFill="1" applyBorder="1" applyAlignment="1" applyProtection="1">
      <alignment horizontal="left"/>
      <protection locked="0"/>
    </xf>
    <xf numFmtId="49" fontId="6" fillId="40" borderId="21" xfId="0" applyNumberFormat="1" applyFont="1" applyFill="1" applyBorder="1" applyAlignment="1" applyProtection="1">
      <alignment horizontal="left"/>
      <protection locked="0"/>
    </xf>
    <xf numFmtId="49" fontId="6" fillId="40" borderId="0" xfId="0" applyNumberFormat="1" applyFont="1" applyFill="1" applyBorder="1" applyAlignment="1" applyProtection="1">
      <alignment horizontal="left"/>
      <protection locked="0"/>
    </xf>
    <xf numFmtId="49" fontId="6" fillId="40" borderId="22" xfId="0" applyNumberFormat="1" applyFont="1" applyFill="1" applyBorder="1" applyAlignment="1" applyProtection="1">
      <alignment horizontal="left"/>
      <protection locked="0"/>
    </xf>
    <xf numFmtId="0" fontId="6" fillId="35" borderId="33" xfId="0" applyFont="1" applyFill="1" applyBorder="1" applyAlignment="1" applyProtection="1">
      <alignment horizontal="left" wrapText="1"/>
      <protection hidden="1"/>
    </xf>
    <xf numFmtId="0" fontId="14" fillId="34" borderId="55" xfId="0" applyFont="1" applyFill="1" applyBorder="1" applyAlignment="1" applyProtection="1">
      <alignment horizontal="left"/>
      <protection hidden="1"/>
    </xf>
    <xf numFmtId="0" fontId="14" fillId="34" borderId="38" xfId="0" applyFont="1" applyFill="1" applyBorder="1" applyAlignment="1" applyProtection="1">
      <alignment horizontal="left"/>
      <protection hidden="1"/>
    </xf>
    <xf numFmtId="0" fontId="14" fillId="34" borderId="39" xfId="0" applyFont="1" applyFill="1" applyBorder="1" applyAlignment="1" applyProtection="1">
      <alignment horizontal="left"/>
      <protection hidden="1"/>
    </xf>
    <xf numFmtId="0" fontId="14" fillId="35" borderId="55" xfId="0" applyFont="1" applyFill="1" applyBorder="1" applyAlignment="1" applyProtection="1">
      <alignment horizontal="left"/>
      <protection hidden="1"/>
    </xf>
    <xf numFmtId="0" fontId="14" fillId="35" borderId="39" xfId="0" applyFont="1" applyFill="1" applyBorder="1" applyAlignment="1" applyProtection="1">
      <alignment horizontal="left"/>
      <protection hidden="1"/>
    </xf>
    <xf numFmtId="0" fontId="6" fillId="35" borderId="29" xfId="0" applyFont="1" applyFill="1" applyBorder="1" applyAlignment="1" applyProtection="1">
      <alignment horizontal="center" vertical="center"/>
      <protection hidden="1"/>
    </xf>
    <xf numFmtId="0" fontId="6" fillId="35" borderId="0" xfId="0" applyFont="1" applyFill="1" applyBorder="1" applyAlignment="1">
      <alignment horizontal="left" wrapText="1"/>
    </xf>
    <xf numFmtId="49" fontId="6" fillId="40" borderId="50" xfId="0" applyNumberFormat="1" applyFont="1" applyFill="1" applyBorder="1" applyAlignment="1" applyProtection="1">
      <alignment horizontal="left"/>
      <protection locked="0"/>
    </xf>
    <xf numFmtId="49" fontId="6" fillId="40" borderId="29" xfId="0" applyNumberFormat="1" applyFont="1" applyFill="1" applyBorder="1" applyAlignment="1" applyProtection="1">
      <alignment horizontal="left"/>
      <protection locked="0"/>
    </xf>
    <xf numFmtId="49" fontId="6" fillId="40" borderId="51" xfId="0" applyNumberFormat="1" applyFont="1" applyFill="1" applyBorder="1" applyAlignment="1" applyProtection="1">
      <alignment horizontal="left"/>
      <protection locked="0"/>
    </xf>
    <xf numFmtId="0" fontId="6" fillId="35" borderId="56" xfId="0" applyFont="1" applyFill="1" applyBorder="1" applyAlignment="1" applyProtection="1">
      <alignment horizontal="left" vertical="center" wrapText="1"/>
      <protection hidden="1"/>
    </xf>
    <xf numFmtId="0" fontId="6" fillId="35" borderId="57" xfId="0" applyFont="1" applyFill="1" applyBorder="1" applyAlignment="1" applyProtection="1">
      <alignment horizontal="left" vertical="center" wrapText="1"/>
      <protection hidden="1"/>
    </xf>
    <xf numFmtId="0" fontId="6" fillId="35" borderId="58" xfId="0" applyFont="1" applyFill="1" applyBorder="1" applyAlignment="1" applyProtection="1">
      <alignment horizontal="left" vertical="center" wrapText="1"/>
      <protection hidden="1"/>
    </xf>
    <xf numFmtId="0" fontId="6" fillId="35" borderId="59" xfId="0" applyFont="1" applyFill="1" applyBorder="1" applyAlignment="1" applyProtection="1">
      <alignment horizontal="left" vertical="center" wrapText="1"/>
      <protection hidden="1"/>
    </xf>
    <xf numFmtId="0" fontId="6" fillId="35" borderId="0" xfId="0" applyFont="1" applyFill="1" applyBorder="1" applyAlignment="1" applyProtection="1">
      <alignment horizontal="left" vertical="center" wrapText="1"/>
      <protection hidden="1"/>
    </xf>
    <xf numFmtId="0" fontId="6" fillId="35" borderId="60" xfId="0" applyFont="1" applyFill="1" applyBorder="1" applyAlignment="1" applyProtection="1">
      <alignment horizontal="left" vertical="center" wrapText="1"/>
      <protection hidden="1"/>
    </xf>
    <xf numFmtId="0" fontId="6" fillId="35" borderId="61" xfId="0" applyFont="1" applyFill="1" applyBorder="1" applyAlignment="1" applyProtection="1">
      <alignment horizontal="left" vertical="center" wrapText="1"/>
      <protection hidden="1"/>
    </xf>
    <xf numFmtId="0" fontId="6" fillId="35" borderId="13" xfId="0" applyFont="1" applyFill="1" applyBorder="1" applyAlignment="1" applyProtection="1">
      <alignment horizontal="left" vertical="center" wrapText="1"/>
      <protection hidden="1"/>
    </xf>
    <xf numFmtId="0" fontId="6" fillId="35" borderId="62" xfId="0" applyFont="1" applyFill="1" applyBorder="1" applyAlignment="1" applyProtection="1">
      <alignment horizontal="left" vertical="center" wrapText="1"/>
      <protection hidden="1"/>
    </xf>
    <xf numFmtId="173" fontId="6" fillId="40" borderId="56" xfId="0" applyNumberFormat="1" applyFont="1" applyFill="1" applyBorder="1" applyAlignment="1" applyProtection="1">
      <alignment horizontal="center" vertical="center" wrapText="1"/>
      <protection locked="0"/>
    </xf>
    <xf numFmtId="173" fontId="6" fillId="40" borderId="58" xfId="0" applyNumberFormat="1" applyFont="1" applyFill="1" applyBorder="1" applyAlignment="1" applyProtection="1">
      <alignment horizontal="center" vertical="center" wrapText="1"/>
      <protection locked="0"/>
    </xf>
    <xf numFmtId="173" fontId="6" fillId="40" borderId="59" xfId="0" applyNumberFormat="1" applyFont="1" applyFill="1" applyBorder="1" applyAlignment="1" applyProtection="1">
      <alignment horizontal="center" vertical="center" wrapText="1"/>
      <protection locked="0"/>
    </xf>
    <xf numFmtId="173" fontId="6" fillId="40" borderId="60" xfId="0" applyNumberFormat="1" applyFont="1" applyFill="1" applyBorder="1" applyAlignment="1" applyProtection="1">
      <alignment horizontal="center" vertical="center" wrapText="1"/>
      <protection locked="0"/>
    </xf>
    <xf numFmtId="173" fontId="6" fillId="40" borderId="61" xfId="0" applyNumberFormat="1" applyFont="1" applyFill="1" applyBorder="1" applyAlignment="1" applyProtection="1">
      <alignment horizontal="center" vertical="center" wrapText="1"/>
      <protection locked="0"/>
    </xf>
    <xf numFmtId="173" fontId="6" fillId="40" borderId="62" xfId="0" applyNumberFormat="1" applyFont="1" applyFill="1" applyBorder="1" applyAlignment="1" applyProtection="1">
      <alignment horizontal="center" vertical="center" wrapText="1"/>
      <protection locked="0"/>
    </xf>
    <xf numFmtId="0" fontId="8" fillId="35" borderId="0" xfId="0" applyFont="1" applyFill="1" applyBorder="1" applyAlignment="1">
      <alignment horizontal="center" vertical="center"/>
    </xf>
    <xf numFmtId="49" fontId="6" fillId="40" borderId="56" xfId="0" applyNumberFormat="1" applyFont="1" applyFill="1" applyBorder="1" applyAlignment="1" applyProtection="1">
      <alignment horizontal="center" vertical="center" wrapText="1"/>
      <protection locked="0"/>
    </xf>
    <xf numFmtId="49" fontId="6" fillId="40" borderId="63" xfId="0" applyNumberFormat="1" applyFont="1" applyFill="1" applyBorder="1" applyAlignment="1" applyProtection="1">
      <alignment horizontal="center" vertical="center" wrapText="1"/>
      <protection locked="0"/>
    </xf>
    <xf numFmtId="49" fontId="6" fillId="40" borderId="59" xfId="0" applyNumberFormat="1" applyFont="1" applyFill="1" applyBorder="1" applyAlignment="1" applyProtection="1">
      <alignment horizontal="center" vertical="center" wrapText="1"/>
      <protection locked="0"/>
    </xf>
    <xf numFmtId="49" fontId="6" fillId="40" borderId="14" xfId="0" applyNumberFormat="1" applyFont="1" applyFill="1" applyBorder="1" applyAlignment="1" applyProtection="1">
      <alignment horizontal="center" vertical="center" wrapText="1"/>
      <protection locked="0"/>
    </xf>
    <xf numFmtId="49" fontId="6" fillId="40" borderId="61" xfId="0" applyNumberFormat="1" applyFont="1" applyFill="1" applyBorder="1" applyAlignment="1" applyProtection="1">
      <alignment horizontal="center" vertical="center" wrapText="1"/>
      <protection locked="0"/>
    </xf>
    <xf numFmtId="49" fontId="6" fillId="40" borderId="15" xfId="0" applyNumberFormat="1" applyFont="1" applyFill="1" applyBorder="1" applyAlignment="1" applyProtection="1">
      <alignment horizontal="center" vertical="center" wrapText="1"/>
      <protection locked="0"/>
    </xf>
    <xf numFmtId="0" fontId="6" fillId="35" borderId="64" xfId="0" applyNumberFormat="1" applyFont="1" applyFill="1" applyBorder="1" applyAlignment="1" applyProtection="1">
      <alignment horizontal="left" vertical="center" wrapText="1" indent="2"/>
      <protection/>
    </xf>
    <xf numFmtId="0" fontId="14" fillId="35" borderId="57" xfId="0" applyNumberFormat="1" applyFont="1" applyFill="1" applyBorder="1" applyAlignment="1" applyProtection="1">
      <alignment horizontal="left" vertical="center" wrapText="1" indent="2"/>
      <protection/>
    </xf>
    <xf numFmtId="0" fontId="14" fillId="35" borderId="58" xfId="0" applyNumberFormat="1" applyFont="1" applyFill="1" applyBorder="1" applyAlignment="1" applyProtection="1">
      <alignment horizontal="left" vertical="center" wrapText="1" indent="2"/>
      <protection/>
    </xf>
    <xf numFmtId="0" fontId="14" fillId="35" borderId="20" xfId="0" applyNumberFormat="1" applyFont="1" applyFill="1" applyBorder="1" applyAlignment="1" applyProtection="1">
      <alignment horizontal="left" vertical="center" wrapText="1" indent="2"/>
      <protection/>
    </xf>
    <xf numFmtId="0" fontId="14" fillId="35" borderId="0" xfId="0" applyNumberFormat="1" applyFont="1" applyFill="1" applyBorder="1" applyAlignment="1" applyProtection="1">
      <alignment horizontal="left" vertical="center" wrapText="1" indent="2"/>
      <protection/>
    </xf>
    <xf numFmtId="0" fontId="14" fillId="35" borderId="60" xfId="0" applyNumberFormat="1" applyFont="1" applyFill="1" applyBorder="1" applyAlignment="1" applyProtection="1">
      <alignment horizontal="left" vertical="center" wrapText="1" indent="2"/>
      <protection/>
    </xf>
    <xf numFmtId="0" fontId="14" fillId="35" borderId="25" xfId="0" applyNumberFormat="1" applyFont="1" applyFill="1" applyBorder="1" applyAlignment="1" applyProtection="1">
      <alignment horizontal="left" vertical="center" wrapText="1" indent="2"/>
      <protection/>
    </xf>
    <xf numFmtId="0" fontId="14" fillId="35" borderId="13" xfId="0" applyNumberFormat="1" applyFont="1" applyFill="1" applyBorder="1" applyAlignment="1" applyProtection="1">
      <alignment horizontal="left" vertical="center" wrapText="1" indent="2"/>
      <protection/>
    </xf>
    <xf numFmtId="0" fontId="14" fillId="35" borderId="62" xfId="0" applyNumberFormat="1" applyFont="1" applyFill="1" applyBorder="1" applyAlignment="1" applyProtection="1">
      <alignment horizontal="left" vertical="center" wrapText="1" indent="2"/>
      <protection/>
    </xf>
    <xf numFmtId="49" fontId="6" fillId="35" borderId="50" xfId="0" applyNumberFormat="1" applyFont="1" applyFill="1" applyBorder="1" applyAlignment="1" applyProtection="1">
      <alignment horizontal="center"/>
      <protection locked="0"/>
    </xf>
    <xf numFmtId="49" fontId="6" fillId="35" borderId="29" xfId="0" applyNumberFormat="1" applyFont="1" applyFill="1" applyBorder="1" applyAlignment="1" applyProtection="1">
      <alignment horizontal="center"/>
      <protection locked="0"/>
    </xf>
    <xf numFmtId="49" fontId="6" fillId="35" borderId="51" xfId="0" applyNumberFormat="1" applyFont="1" applyFill="1" applyBorder="1" applyAlignment="1" applyProtection="1">
      <alignment horizontal="center"/>
      <protection locked="0"/>
    </xf>
    <xf numFmtId="0" fontId="9" fillId="35" borderId="0" xfId="0" applyFont="1" applyFill="1" applyBorder="1" applyAlignment="1">
      <alignment horizontal="left" wrapText="1"/>
    </xf>
    <xf numFmtId="0" fontId="102" fillId="35" borderId="0" xfId="0" applyFont="1" applyFill="1" applyAlignment="1" applyProtection="1">
      <alignment horizontal="left" vertical="top" wrapText="1"/>
      <protection/>
    </xf>
    <xf numFmtId="0" fontId="2" fillId="0" borderId="0" xfId="0" applyFont="1" applyFill="1" applyBorder="1" applyAlignment="1">
      <alignment horizontal="center" vertical="center"/>
    </xf>
    <xf numFmtId="0" fontId="114" fillId="0" borderId="0" xfId="0" applyFont="1" applyFill="1" applyBorder="1" applyAlignment="1">
      <alignment horizontal="center" vertical="top" wrapText="1"/>
    </xf>
    <xf numFmtId="0" fontId="77" fillId="0" borderId="0" xfId="0" applyNumberFormat="1" applyFont="1" applyFill="1" applyBorder="1" applyAlignment="1" applyProtection="1">
      <alignment horizontal="center" vertical="center"/>
      <protection hidden="1" locked="0"/>
    </xf>
    <xf numFmtId="0" fontId="2" fillId="35"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strike val="0"/>
        <color theme="0"/>
      </font>
      <fill>
        <patternFill>
          <fgColor theme="0"/>
          <bgColor theme="0"/>
        </patternFill>
      </fill>
      <border>
        <left/>
        <right/>
        <top/>
        <bottom/>
      </border>
    </dxf>
    <dxf>
      <font>
        <strike val="0"/>
        <color theme="0"/>
      </font>
      <fill>
        <patternFill>
          <fgColor theme="0"/>
          <bgColor theme="0"/>
        </patternFill>
      </fill>
      <border>
        <left/>
        <right/>
        <top/>
        <bottom/>
      </border>
    </dxf>
    <dxf>
      <font>
        <strike val="0"/>
        <color theme="0"/>
      </font>
      <fill>
        <patternFill>
          <fgColor theme="0"/>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border>
        <bottom style="thin"/>
      </border>
    </dxf>
    <dxf>
      <border>
        <bottom style="thin"/>
      </border>
    </dxf>
    <dxf>
      <font>
        <color theme="0"/>
      </font>
      <fill>
        <patternFill>
          <bgColor theme="0"/>
        </patternFill>
      </fill>
      <border>
        <left style="thin">
          <color theme="0"/>
        </left>
        <right style="thin">
          <color theme="0"/>
        </right>
        <top style="thin">
          <color theme="0"/>
        </top>
        <bottom style="thin">
          <color theme="0"/>
        </bottom>
      </border>
    </dxf>
    <dxf>
      <font>
        <color auto="1"/>
      </font>
      <fill>
        <patternFill>
          <bgColor rgb="FFFFFF00"/>
        </patternFill>
      </fill>
    </dxf>
    <dxf>
      <fill>
        <patternFill>
          <bgColor rgb="FFFFFF00"/>
        </patternFill>
      </fill>
    </dxf>
    <dxf>
      <font>
        <b/>
        <i val="0"/>
        <name val="Cambria"/>
        <color auto="1"/>
      </font>
      <fill>
        <patternFill>
          <bgColor rgb="FFFFFF00"/>
        </patternFill>
      </fill>
    </dxf>
    <dxf>
      <font>
        <b/>
        <i val="0"/>
        <color auto="1"/>
      </font>
      <fill>
        <patternFill>
          <bgColor rgb="FFFFFF00"/>
        </patternFill>
      </fill>
      <border/>
    </dxf>
    <dxf>
      <font>
        <color auto="1"/>
      </font>
      <fill>
        <patternFill>
          <bgColor rgb="FFFFFF00"/>
        </patternFill>
      </fill>
      <border/>
    </dxf>
    <dxf>
      <font>
        <color theme="0"/>
      </font>
      <fill>
        <patternFill>
          <bgColor theme="0"/>
        </patternFill>
      </fill>
      <border>
        <left style="thin">
          <color theme="0"/>
        </left>
        <right style="thin">
          <color theme="0"/>
        </right>
        <top style="thin">
          <color theme="0"/>
        </top>
        <bottom style="thin">
          <color theme="0"/>
        </bottom>
      </border>
    </dxf>
    <dxf>
      <border>
        <bottom style="thin">
          <color rgb="FF000000"/>
        </bottom>
      </border>
    </dxf>
    <dxf>
      <font>
        <strike val="0"/>
        <color theme="0"/>
      </font>
      <fill>
        <patternFill>
          <fgColor theme="0"/>
          <bgColor theme="0"/>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Individuals/Foreigners/Your-Situation/Non-resident-professional/Tax-Treaties-and-Non-Resident-Professionals/" TargetMode="External" /><Relationship Id="rId2" Type="http://schemas.openxmlformats.org/officeDocument/2006/relationships/hyperlink" Target="http://www.iras.gov.sg/irasHome/page01.aspx?id=758" TargetMode="External" /><Relationship Id="rId3" Type="http://schemas.openxmlformats.org/officeDocument/2006/relationships/hyperlink" Target="https://www.iras.gov.sg/taxes/withholding-tax/payments-to-non-resident-professional-(consultant-trainer-coach-etc-)/tax-obligations-for-non-resident-professional" TargetMode="External" /><Relationship Id="rId4" Type="http://schemas.openxmlformats.org/officeDocument/2006/relationships/hyperlink" Target="https://www.iras.gov.sg/irashome/Quick-Links/Forms/Businesses/S45-Withholding-Tax-forms/" TargetMode="External" /><Relationship Id="rId5" Type="http://schemas.openxmlformats.org/officeDocument/2006/relationships/hyperlink" Target="https://www.iras.gov.sg/irashome/Quick-Links/Forms/Businesses/S45-Withholding-Tax-forms/" TargetMode="External" /><Relationship Id="rId6" Type="http://schemas.openxmlformats.org/officeDocument/2006/relationships/hyperlink" Target="https://www.iras.gov.sg/irashome/Quick-Links/International-Tax/List-of-DTAs--limited-treaties-and-EOI-arrangements/" TargetMode="External" /><Relationship Id="rId7" Type="http://schemas.openxmlformats.org/officeDocument/2006/relationships/hyperlink" Target="https://www.iras.gov.sg/irashome/Other-Taxes/Withholding-tax/Filing-and-Paying-Withholding-Tax/When-to-File-and-Pay-Withholding-Tax/Claiming-Relief/Exemption-under-the-Avoidance-of-Double-Taxation-Agreement/" TargetMode="External" /><Relationship Id="rId8" Type="http://schemas.openxmlformats.org/officeDocument/2006/relationships/hyperlink" Target="https://www.iras.gov.sg/taxes/withholding-tax/withholding-tax-filing/how-to-file" TargetMode="External" /><Relationship Id="rId9" Type="http://schemas.openxmlformats.org/officeDocument/2006/relationships/hyperlink" Target="https://www.iras.gov.sg/taxes/withholding-tax/withholding-tax-filing/withholding-tax-filing-and-payment-due-date" TargetMode="External" /><Relationship Id="rId10" Type="http://schemas.openxmlformats.org/officeDocument/2006/relationships/hyperlink" Target="https://www.iras.gov.sg/irashome/Other-Taxes/Withholding-tax/Non-resident-professionals/Tax-for-Non-Resident-Professionals/" TargetMode="External" /><Relationship Id="rId11" Type="http://schemas.openxmlformats.org/officeDocument/2006/relationships/hyperlink" Target="https://www.iras.gov.sg/taxes/individual-income-tax/non-resident-individuals/non-resident-professional-(consultant-trainer-coach-etc-)/non-resident-professional" TargetMode="External" /><Relationship Id="rId12" Type="http://schemas.openxmlformats.org/officeDocument/2006/relationships/hyperlink" Target="https://www.iras.gov.sg/taxes/international-tax/international-tax-agreements-concluded-by-singapore/list-of-dtas-limited-dtas-and-eoi-arrangements" TargetMode="External" /><Relationship Id="rId13" Type="http://schemas.openxmlformats.org/officeDocument/2006/relationships/hyperlink" Target="https://www.iras.gov.sg/taxes/withholding-tax/withholding-tax-filing/how-to-file" TargetMode="External" /><Relationship Id="rId14" Type="http://schemas.openxmlformats.org/officeDocument/2006/relationships/comments" Target="../comments1.xml" /><Relationship Id="rId15" Type="http://schemas.openxmlformats.org/officeDocument/2006/relationships/vmlDrawing" Target="../drawings/vmlDrawing1.vm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378"/>
  <sheetViews>
    <sheetView showGridLines="0" showRowColHeaders="0" tabSelected="1" zoomScaleSheetLayoutView="100" workbookViewId="0" topLeftCell="A1">
      <selection activeCell="I9" sqref="I9:K9"/>
    </sheetView>
  </sheetViews>
  <sheetFormatPr defaultColWidth="9.140625" defaultRowHeight="15"/>
  <cols>
    <col min="1" max="1" width="9.140625" style="232" customWidth="1"/>
    <col min="2" max="2" width="12.57421875" style="2" hidden="1" customWidth="1"/>
    <col min="3" max="3" width="3.57421875" style="91" customWidth="1"/>
    <col min="4" max="4" width="4.28125" style="92" customWidth="1"/>
    <col min="5" max="5" width="20.00390625" style="3" customWidth="1"/>
    <col min="6" max="6" width="9.28125" style="3" customWidth="1"/>
    <col min="7" max="8" width="16.421875" style="3" customWidth="1"/>
    <col min="9" max="9" width="12.421875" style="3" customWidth="1"/>
    <col min="10" max="10" width="11.7109375" style="3" customWidth="1"/>
    <col min="11" max="11" width="8.57421875" style="3" customWidth="1"/>
    <col min="12" max="12" width="13.57421875" style="3" customWidth="1"/>
    <col min="13" max="13" width="22.8515625" style="3" customWidth="1"/>
    <col min="14" max="14" width="7.140625" style="92" customWidth="1"/>
    <col min="15" max="15" width="10.00390625" style="232" customWidth="1"/>
    <col min="16" max="16" width="24.28125" style="250" hidden="1" customWidth="1"/>
    <col min="17" max="19" width="14.28125" style="250" hidden="1" customWidth="1"/>
    <col min="20" max="20" width="15.8515625" style="250" hidden="1" customWidth="1"/>
    <col min="21" max="21" width="19.00390625" style="250" hidden="1" customWidth="1"/>
    <col min="22" max="22" width="17.8515625" style="250" hidden="1" customWidth="1"/>
    <col min="23" max="23" width="13.421875" style="250" hidden="1" customWidth="1"/>
    <col min="24" max="24" width="22.00390625" style="250" hidden="1" customWidth="1"/>
    <col min="25" max="25" width="12.7109375" style="250" hidden="1" customWidth="1"/>
    <col min="26" max="26" width="12.57421875" style="250" hidden="1" customWidth="1"/>
    <col min="27" max="27" width="22.7109375" style="250" hidden="1" customWidth="1"/>
    <col min="28" max="28" width="17.421875" style="250" hidden="1" customWidth="1"/>
    <col min="29" max="29" width="15.8515625" style="250" hidden="1" customWidth="1"/>
    <col min="30" max="30" width="12.140625" style="250" hidden="1" customWidth="1"/>
    <col min="31" max="31" width="13.421875" style="250" hidden="1" customWidth="1"/>
    <col min="32" max="32" width="13.140625" style="250" hidden="1" customWidth="1"/>
    <col min="33" max="33" width="10.140625" style="250" hidden="1" customWidth="1"/>
    <col min="34" max="34" width="11.28125" style="250" hidden="1" customWidth="1"/>
    <col min="35" max="35" width="15.140625" style="250" hidden="1" customWidth="1"/>
    <col min="36" max="36" width="14.8515625" style="250" hidden="1" customWidth="1"/>
    <col min="37" max="37" width="15.421875" style="250" hidden="1" customWidth="1"/>
    <col min="38" max="38" width="9.8515625" style="250" hidden="1" customWidth="1"/>
    <col min="39" max="39" width="14.140625" style="250" hidden="1" customWidth="1"/>
    <col min="40" max="40" width="44.57421875" style="250" hidden="1" customWidth="1"/>
    <col min="41" max="41" width="12.140625" style="250" hidden="1" customWidth="1"/>
    <col min="42" max="42" width="20.140625" style="250" hidden="1" customWidth="1"/>
    <col min="43" max="43" width="28.140625" style="250" hidden="1" customWidth="1"/>
    <col min="44" max="44" width="10.7109375" style="250" hidden="1" customWidth="1"/>
    <col min="45" max="49" width="10.140625" style="250" hidden="1" customWidth="1"/>
    <col min="50" max="54" width="9.140625" style="250" hidden="1" customWidth="1"/>
    <col min="55" max="55" width="9.140625" style="322" hidden="1" customWidth="1"/>
    <col min="56" max="60" width="8.8515625" style="322" hidden="1" customWidth="1"/>
    <col min="61" max="61" width="9.140625" style="243" customWidth="1"/>
    <col min="62" max="16384" width="9.140625" style="56" customWidth="1"/>
  </cols>
  <sheetData>
    <row r="1" spans="2:60" ht="16.5">
      <c r="B1" s="55"/>
      <c r="C1" s="89"/>
      <c r="D1" s="90"/>
      <c r="E1" s="72"/>
      <c r="F1" s="72"/>
      <c r="G1" s="72"/>
      <c r="H1" s="72"/>
      <c r="I1" s="72"/>
      <c r="J1" s="72"/>
      <c r="K1" s="72"/>
      <c r="L1" s="72"/>
      <c r="M1" s="72"/>
      <c r="N1" s="90"/>
      <c r="O1" s="242"/>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row>
    <row r="2" spans="1:61" s="35" customFormat="1" ht="14.25" hidden="1">
      <c r="A2" s="232"/>
      <c r="B2" s="1"/>
      <c r="C2" s="91"/>
      <c r="D2" s="92"/>
      <c r="E2" s="3"/>
      <c r="F2" s="3"/>
      <c r="G2" s="3"/>
      <c r="H2" s="3"/>
      <c r="I2" s="3"/>
      <c r="J2" s="3"/>
      <c r="K2" s="3"/>
      <c r="L2" s="3"/>
      <c r="M2" s="3"/>
      <c r="N2" s="92"/>
      <c r="O2" s="232"/>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44"/>
    </row>
    <row r="3" spans="3:60" ht="25.5">
      <c r="C3" s="344" t="s">
        <v>312</v>
      </c>
      <c r="D3" s="344"/>
      <c r="E3" s="344"/>
      <c r="F3" s="344"/>
      <c r="G3" s="344"/>
      <c r="H3" s="344"/>
      <c r="I3" s="344"/>
      <c r="J3" s="344"/>
      <c r="K3" s="344"/>
      <c r="L3" s="344"/>
      <c r="M3" s="344"/>
      <c r="N3" s="344"/>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row>
    <row r="4" spans="3:60" ht="19.5" customHeight="1">
      <c r="C4" s="345" t="s">
        <v>317</v>
      </c>
      <c r="D4" s="345"/>
      <c r="E4" s="345"/>
      <c r="F4" s="345"/>
      <c r="G4" s="345"/>
      <c r="H4" s="345"/>
      <c r="I4" s="345"/>
      <c r="J4" s="345"/>
      <c r="K4" s="345"/>
      <c r="L4" s="345"/>
      <c r="M4" s="345"/>
      <c r="N4" s="345"/>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row>
    <row r="5" spans="3:60" ht="35.25" customHeight="1" thickBot="1">
      <c r="C5" s="333" t="s">
        <v>329</v>
      </c>
      <c r="D5" s="333"/>
      <c r="E5" s="333"/>
      <c r="F5" s="333"/>
      <c r="G5" s="333"/>
      <c r="H5" s="333"/>
      <c r="I5" s="333"/>
      <c r="J5" s="333"/>
      <c r="K5" s="333"/>
      <c r="L5" s="333"/>
      <c r="M5" s="333"/>
      <c r="N5" s="333"/>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row>
    <row r="6" spans="1:60" ht="15.75" thickBot="1">
      <c r="A6" s="233"/>
      <c r="B6" s="4"/>
      <c r="C6" s="5"/>
      <c r="D6" s="49" t="s">
        <v>315</v>
      </c>
      <c r="E6" s="50"/>
      <c r="F6" s="50"/>
      <c r="G6" s="43"/>
      <c r="H6" s="43"/>
      <c r="I6" s="43"/>
      <c r="J6" s="43"/>
      <c r="K6" s="43"/>
      <c r="L6" s="43"/>
      <c r="M6" s="43"/>
      <c r="N6" s="93"/>
      <c r="O6" s="73" t="str">
        <f>B9</f>
        <v>?</v>
      </c>
      <c r="P6" s="252"/>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row>
    <row r="7" spans="1:60" ht="17.25">
      <c r="A7" s="233"/>
      <c r="B7" s="4"/>
      <c r="C7" s="63"/>
      <c r="D7" s="88" t="s">
        <v>316</v>
      </c>
      <c r="E7" s="88"/>
      <c r="F7" s="88"/>
      <c r="G7" s="88"/>
      <c r="H7" s="88"/>
      <c r="I7" s="64"/>
      <c r="J7" s="64"/>
      <c r="K7" s="64"/>
      <c r="L7" s="64"/>
      <c r="M7" s="64"/>
      <c r="N7" s="65"/>
      <c r="O7" s="73"/>
      <c r="P7" s="252"/>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row>
    <row r="8" spans="1:60" ht="9" customHeight="1" thickBot="1">
      <c r="A8" s="233"/>
      <c r="B8" s="4"/>
      <c r="C8" s="94"/>
      <c r="D8" s="95"/>
      <c r="E8" s="44"/>
      <c r="F8" s="44"/>
      <c r="G8" s="44"/>
      <c r="H8" s="44"/>
      <c r="I8" s="45"/>
      <c r="J8" s="45"/>
      <c r="K8" s="45"/>
      <c r="L8" s="45"/>
      <c r="M8" s="45"/>
      <c r="N8" s="96"/>
      <c r="O8" s="233"/>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row>
    <row r="9" spans="1:60" ht="18" thickBot="1" thickTop="1">
      <c r="A9" s="239"/>
      <c r="B9" s="2" t="str">
        <f>IF(AC188="","?",IF(OR(E11=AD154,E11=AD155),"Taxable",""))</f>
        <v>?</v>
      </c>
      <c r="C9" s="94"/>
      <c r="D9" s="97" t="s">
        <v>1</v>
      </c>
      <c r="E9" s="51" t="s">
        <v>313</v>
      </c>
      <c r="F9" s="9"/>
      <c r="G9" s="10"/>
      <c r="H9" s="11"/>
      <c r="I9" s="334"/>
      <c r="J9" s="335"/>
      <c r="K9" s="336"/>
      <c r="L9" s="247" t="str">
        <f>IF(B9="?",$AC$176,"")</f>
        <v>(Required Field)</v>
      </c>
      <c r="M9" s="13"/>
      <c r="N9" s="96"/>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row>
    <row r="10" spans="1:60" ht="8.25" customHeight="1" thickTop="1">
      <c r="A10" s="239"/>
      <c r="C10" s="94"/>
      <c r="D10" s="98"/>
      <c r="E10" s="90"/>
      <c r="F10" s="90"/>
      <c r="G10" s="90"/>
      <c r="H10" s="90"/>
      <c r="I10" s="90"/>
      <c r="J10" s="90"/>
      <c r="K10" s="90"/>
      <c r="L10" s="90"/>
      <c r="M10" s="92"/>
      <c r="N10" s="96"/>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row>
    <row r="11" spans="1:60" ht="48.75" customHeight="1">
      <c r="A11" s="239"/>
      <c r="C11" s="94"/>
      <c r="D11" s="98"/>
      <c r="E11" s="346">
        <f>IF(AC188="","",VLOOKUP($AC$188,$AC$192:$AQ$288,$AQ$190,FALSE))</f>
      </c>
      <c r="F11" s="346"/>
      <c r="G11" s="346"/>
      <c r="H11" s="346"/>
      <c r="I11" s="346"/>
      <c r="J11" s="346"/>
      <c r="K11" s="346"/>
      <c r="L11" s="346"/>
      <c r="M11" s="346"/>
      <c r="N11" s="96"/>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row>
    <row r="12" spans="1:60" ht="8.25" customHeight="1" thickBot="1">
      <c r="A12" s="239"/>
      <c r="C12" s="99"/>
      <c r="D12" s="100"/>
      <c r="E12" s="14"/>
      <c r="F12" s="14"/>
      <c r="G12" s="14"/>
      <c r="H12" s="101"/>
      <c r="I12" s="15"/>
      <c r="J12" s="15"/>
      <c r="K12" s="15"/>
      <c r="L12" s="16"/>
      <c r="M12" s="16"/>
      <c r="N12" s="102"/>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row>
    <row r="13" spans="1:60" ht="8.25" customHeight="1" thickBot="1">
      <c r="A13" s="239"/>
      <c r="C13" s="89"/>
      <c r="D13" s="103"/>
      <c r="E13" s="69"/>
      <c r="F13" s="69"/>
      <c r="G13" s="69"/>
      <c r="H13" s="104"/>
      <c r="I13" s="70"/>
      <c r="J13" s="70"/>
      <c r="K13" s="70"/>
      <c r="L13" s="71"/>
      <c r="M13" s="71"/>
      <c r="N13" s="90"/>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row>
    <row r="14" spans="1:60" ht="15.75" thickBot="1">
      <c r="A14" s="233"/>
      <c r="B14" s="4"/>
      <c r="C14" s="5"/>
      <c r="D14" s="6" t="s">
        <v>3</v>
      </c>
      <c r="E14" s="6"/>
      <c r="F14" s="6">
        <f>IF(O14="","",IF(OR(O48=AC150,O48=AC151)=TRUE,AC160,IF(AND(O48=AC152,AND(B16&lt;&gt;"Taxable",B19&lt;&gt;"Taxable")),AC161,"")))</f>
      </c>
      <c r="G14" s="105"/>
      <c r="H14" s="105"/>
      <c r="I14" s="105"/>
      <c r="J14" s="105"/>
      <c r="K14" s="105"/>
      <c r="L14" s="106" t="s">
        <v>0</v>
      </c>
      <c r="M14" s="106"/>
      <c r="N14" s="93"/>
      <c r="O14" s="73">
        <f>IF(OR(B16="Taxable",B19="Taxable"),"",IF(OR(B16="?",B19="?"),"?",""))</f>
      </c>
      <c r="P14" s="252"/>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row>
    <row r="15" spans="1:60" ht="8.25" customHeight="1" thickBot="1">
      <c r="A15" s="233"/>
      <c r="B15" s="4"/>
      <c r="C15" s="107"/>
      <c r="D15" s="108"/>
      <c r="E15" s="7"/>
      <c r="F15" s="7"/>
      <c r="G15" s="7"/>
      <c r="H15" s="7"/>
      <c r="I15" s="8"/>
      <c r="J15" s="8"/>
      <c r="K15" s="8"/>
      <c r="L15" s="8"/>
      <c r="M15" s="8"/>
      <c r="N15" s="109"/>
      <c r="O15" s="233"/>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row>
    <row r="16" spans="1:60" ht="18.75" thickBot="1" thickTop="1">
      <c r="A16" s="239"/>
      <c r="B16" s="81">
        <f>IF($AC$188="","",IF(AND(D16="&gt;&gt;",I16="")=TRUE,"?",IF(AND(OR(VLOOKUP($AC$188,$AC$192:$AE$288,$AE$190,FALSE)="Exempt",VLOOKUP($AC$188,$AC$192:$AE$288,$AE$190,FALSE)="Reduced rate"),I16="Yes")=TRUE,"Taxable","")))</f>
      </c>
      <c r="C16" s="110" t="s">
        <v>4</v>
      </c>
      <c r="D16" s="111">
        <f>IF(OR($O$48=$AC$150,$O$48=$AC$151,$O$48=$AC$152)=TRUE,"&gt;&gt;","")</f>
      </c>
      <c r="E16" s="51" t="s">
        <v>5</v>
      </c>
      <c r="F16" s="9"/>
      <c r="G16" s="10"/>
      <c r="H16" s="11"/>
      <c r="I16" s="334"/>
      <c r="J16" s="335"/>
      <c r="K16" s="336"/>
      <c r="L16" s="48">
        <f>IF(AND(O14="?",B16="?"),$AC$176,"")</f>
      </c>
      <c r="M16" s="13"/>
      <c r="N16" s="96"/>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row>
    <row r="17" spans="1:60" ht="18" thickTop="1">
      <c r="A17" s="239"/>
      <c r="C17" s="94"/>
      <c r="D17" s="112"/>
      <c r="E17" s="113" t="s">
        <v>6</v>
      </c>
      <c r="F17" s="46"/>
      <c r="G17" s="20"/>
      <c r="H17" s="104"/>
      <c r="I17" s="18"/>
      <c r="J17" s="18"/>
      <c r="K17" s="18"/>
      <c r="L17" s="19"/>
      <c r="M17" s="19"/>
      <c r="N17" s="96"/>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row>
    <row r="18" spans="1:60" ht="8.25" customHeight="1" thickBot="1">
      <c r="A18" s="239"/>
      <c r="C18" s="94"/>
      <c r="D18" s="112"/>
      <c r="E18" s="17"/>
      <c r="F18" s="17"/>
      <c r="G18" s="17"/>
      <c r="H18" s="104"/>
      <c r="I18" s="18"/>
      <c r="J18" s="18"/>
      <c r="K18" s="18"/>
      <c r="L18" s="19"/>
      <c r="M18" s="19"/>
      <c r="N18" s="96"/>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row>
    <row r="19" spans="2:60" ht="18.75" thickBot="1" thickTop="1">
      <c r="B19" s="2">
        <f>IF(AND(D19="&gt;&gt;",I19="")=TRUE,"?",IF(OR(D19="",$AC$188="")=TRUE,"",IF(AND(ISBLANK(VLOOKUP($AC$188,$AC$192:$AE$288,$AK$190,FALSE))=FALSE,I19="No")=TRUE,"Taxable","")))</f>
      </c>
      <c r="C19" s="114">
        <f>IF($E$19="","","b.")</f>
      </c>
      <c r="D19" s="115">
        <f>IF($AC$188="","",IF(ISBLANK(VLOOKUP($AC$188,$AC$192:$AN$288,$AK$190,FALSE))=FALSE,"&gt;&gt;",""))</f>
      </c>
      <c r="E19" s="53">
        <f>IF($AC$188="","",IF(ISBLANK(VLOOKUP($AC$188,$AC$192:$AN$288,$AK$190,FALSE))=FALSE,CONCATENATE("Is your income below ",VLOOKUP($AC$188,$AC$192:$AN$288,$AK$190,FALSE),"?"),""))</f>
      </c>
      <c r="F19" s="9"/>
      <c r="G19" s="10"/>
      <c r="H19" s="21"/>
      <c r="I19" s="334"/>
      <c r="J19" s="335"/>
      <c r="K19" s="336"/>
      <c r="L19" s="48">
        <f>IF(AND(O14="?",B19="?"),$AC$176,"")</f>
      </c>
      <c r="M19" s="13"/>
      <c r="N19" s="22"/>
      <c r="P19" s="251"/>
      <c r="Q19" s="251"/>
      <c r="R19" s="251"/>
      <c r="S19" s="251"/>
      <c r="T19" s="251"/>
      <c r="U19" s="251"/>
      <c r="V19" s="251"/>
      <c r="W19" s="253"/>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row>
    <row r="20" spans="3:60" ht="8.25" customHeight="1" thickBot="1" thickTop="1">
      <c r="C20" s="99"/>
      <c r="D20" s="116"/>
      <c r="E20" s="117"/>
      <c r="F20" s="117"/>
      <c r="G20" s="117"/>
      <c r="H20" s="23"/>
      <c r="I20" s="24"/>
      <c r="J20" s="24"/>
      <c r="K20" s="24"/>
      <c r="L20" s="25"/>
      <c r="M20" s="25"/>
      <c r="N20" s="26"/>
      <c r="P20" s="251"/>
      <c r="Q20" s="251"/>
      <c r="R20" s="251"/>
      <c r="S20" s="251"/>
      <c r="T20" s="253"/>
      <c r="U20" s="253"/>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row>
    <row r="21" spans="3:60" ht="8.25" customHeight="1" thickBot="1">
      <c r="C21" s="89"/>
      <c r="D21" s="90"/>
      <c r="E21" s="118"/>
      <c r="F21" s="118"/>
      <c r="G21" s="118"/>
      <c r="H21" s="77"/>
      <c r="I21" s="78"/>
      <c r="J21" s="78"/>
      <c r="K21" s="78"/>
      <c r="L21" s="31"/>
      <c r="M21" s="31"/>
      <c r="N21" s="79"/>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row>
    <row r="22" spans="1:60" ht="15.75" thickBot="1">
      <c r="A22" s="233"/>
      <c r="B22" s="4"/>
      <c r="C22" s="5"/>
      <c r="D22" s="6" t="s">
        <v>7</v>
      </c>
      <c r="E22" s="6"/>
      <c r="F22" s="6">
        <f>IF(O22="?",AC163,"")</f>
      </c>
      <c r="G22" s="105"/>
      <c r="H22" s="105"/>
      <c r="I22" s="105"/>
      <c r="J22" s="105"/>
      <c r="K22" s="105"/>
      <c r="L22" s="106"/>
      <c r="M22" s="106"/>
      <c r="N22" s="93"/>
      <c r="O22" s="74">
        <f>IF(OR($AC$188="",VLOOKUP($AC$188,$AC$192:$AP$288,$AM$190,FALSE)=""),"",IF(AND(AD292&lt;&gt;"Taxable",LEFT($O$48,4)&lt;&gt;"None"),IF(OR(G32="",H32="",I44=AC167,L44=AC167,I43=AC167),"?",""),""))</f>
      </c>
      <c r="P22" s="254"/>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row>
    <row r="23" spans="1:60" ht="8.25" customHeight="1">
      <c r="A23" s="233"/>
      <c r="B23" s="4"/>
      <c r="C23" s="107"/>
      <c r="D23" s="108"/>
      <c r="E23" s="7"/>
      <c r="F23" s="7"/>
      <c r="G23" s="7"/>
      <c r="H23" s="7"/>
      <c r="I23" s="8"/>
      <c r="J23" s="8"/>
      <c r="K23" s="8"/>
      <c r="L23" s="8"/>
      <c r="M23" s="8"/>
      <c r="N23" s="109"/>
      <c r="O23" s="73"/>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row>
    <row r="24" spans="1:60" ht="17.25" customHeight="1">
      <c r="A24" s="232" t="s">
        <v>8</v>
      </c>
      <c r="B24" s="32">
        <f>O22</f>
      </c>
      <c r="C24" s="119">
        <f>IF(AC188="","",VLOOKUP(AC188,$AC$192:$AM$288,$AM$190,FALSE))</f>
      </c>
      <c r="D24" s="111">
        <f>IF(OR($O$48=$AC$151,$O$48=$AC$152,$O$48=$AC$153)=TRUE,"&gt;&gt;","")</f>
      </c>
      <c r="E24" s="51" t="s">
        <v>322</v>
      </c>
      <c r="F24" s="51"/>
      <c r="G24" s="120"/>
      <c r="H24" s="52"/>
      <c r="I24" s="52"/>
      <c r="J24" s="52"/>
      <c r="K24" s="10"/>
      <c r="M24" s="248">
        <f>IF($O$22="?",$AC$172,"")</f>
      </c>
      <c r="N24" s="22"/>
      <c r="P24" s="251"/>
      <c r="Q24" s="251"/>
      <c r="R24" s="251"/>
      <c r="S24" s="251"/>
      <c r="T24" s="255" t="s">
        <v>263</v>
      </c>
      <c r="U24" s="253"/>
      <c r="V24" s="253"/>
      <c r="W24" s="251"/>
      <c r="X24" s="251"/>
      <c r="Y24" s="251" t="s">
        <v>9</v>
      </c>
      <c r="Z24" s="256" t="s">
        <v>10</v>
      </c>
      <c r="AA24" s="256" t="s">
        <v>11</v>
      </c>
      <c r="AB24" s="256"/>
      <c r="AC24" s="256"/>
      <c r="AD24" s="256"/>
      <c r="AE24" s="256"/>
      <c r="AF24" s="256"/>
      <c r="AG24" s="256"/>
      <c r="AH24" s="256"/>
      <c r="AI24" s="256"/>
      <c r="AJ24" s="257"/>
      <c r="AK24" s="257"/>
      <c r="AL24" s="257"/>
      <c r="AM24" s="258"/>
      <c r="AN24" s="258"/>
      <c r="AO24" s="258"/>
      <c r="AP24" s="258"/>
      <c r="AQ24" s="258"/>
      <c r="AR24" s="258"/>
      <c r="AS24" s="257"/>
      <c r="AT24" s="257"/>
      <c r="AU24" s="257"/>
      <c r="AV24" s="257"/>
      <c r="AW24" s="257"/>
      <c r="AX24" s="251"/>
      <c r="AY24" s="251"/>
      <c r="AZ24" s="251"/>
      <c r="BA24" s="251"/>
      <c r="BB24" s="251"/>
      <c r="BC24" s="251"/>
      <c r="BD24" s="251"/>
      <c r="BE24" s="251"/>
      <c r="BF24" s="251"/>
      <c r="BG24" s="251"/>
      <c r="BH24" s="251"/>
    </row>
    <row r="25" spans="2:60" ht="15.75" customHeight="1" hidden="1">
      <c r="B25" s="32"/>
      <c r="C25" s="119"/>
      <c r="D25" s="121"/>
      <c r="E25" s="122"/>
      <c r="F25" s="122"/>
      <c r="G25" s="122"/>
      <c r="H25" s="122"/>
      <c r="I25" s="122"/>
      <c r="J25" s="122"/>
      <c r="K25" s="72"/>
      <c r="L25" s="12"/>
      <c r="M25" s="31"/>
      <c r="N25" s="22"/>
      <c r="P25" s="251"/>
      <c r="Q25" s="251"/>
      <c r="R25" s="251"/>
      <c r="S25" s="251"/>
      <c r="T25" s="259" t="s">
        <v>261</v>
      </c>
      <c r="U25" s="260">
        <f>IF(SUM($S$32:$S$41)&gt;0,"",IF(ISNA(VLOOKUP("Latest engagement",$T$32:$AX$41,4,FALSE)),"",VLOOKUP("Latest engagement",$T$32:$AX$41,4,FALSE)))</f>
      </c>
      <c r="V25" s="260">
        <f>IF(U25="","",YEAR(U25))</f>
      </c>
      <c r="W25" s="261" t="s">
        <v>12</v>
      </c>
      <c r="X25" s="262">
        <f ca="1">YEAR(TODAY())-1</f>
        <v>2021</v>
      </c>
      <c r="Y25" s="260">
        <f>DATE(X25,1,1)</f>
        <v>44197</v>
      </c>
      <c r="Z25" s="260">
        <f>DATE(X25,12,31)</f>
        <v>44561</v>
      </c>
      <c r="AA25" s="260">
        <f ca="1">DATE(YEAR(TODAY())+1,12,31)</f>
        <v>45291</v>
      </c>
      <c r="AB25" s="256"/>
      <c r="AC25" s="256"/>
      <c r="AD25" s="256"/>
      <c r="AE25" s="256"/>
      <c r="AF25" s="256"/>
      <c r="AG25" s="256"/>
      <c r="AH25" s="256"/>
      <c r="AI25" s="256"/>
      <c r="AJ25" s="257"/>
      <c r="AK25" s="257"/>
      <c r="AL25" s="257"/>
      <c r="AM25" s="258"/>
      <c r="AN25" s="258"/>
      <c r="AO25" s="258"/>
      <c r="AP25" s="258"/>
      <c r="AQ25" s="258"/>
      <c r="AR25" s="258"/>
      <c r="AS25" s="257"/>
      <c r="AT25" s="257"/>
      <c r="AU25" s="257"/>
      <c r="AV25" s="257"/>
      <c r="AW25" s="257"/>
      <c r="AX25" s="251"/>
      <c r="AY25" s="251"/>
      <c r="AZ25" s="251"/>
      <c r="BA25" s="251"/>
      <c r="BB25" s="251"/>
      <c r="BC25" s="251"/>
      <c r="BD25" s="251"/>
      <c r="BE25" s="251"/>
      <c r="BF25" s="251"/>
      <c r="BG25" s="251"/>
      <c r="BH25" s="251"/>
    </row>
    <row r="26" spans="2:60" ht="17.25">
      <c r="B26" s="32"/>
      <c r="C26" s="119"/>
      <c r="D26" s="121">
        <f>IF(OR(AC188="",LEFT($O$48,4)="None",D47=AC129,O22=""),"",IF(D24="","&gt;&gt;",""))</f>
      </c>
      <c r="E26" s="53" t="s">
        <v>241</v>
      </c>
      <c r="F26" s="53"/>
      <c r="G26" s="120"/>
      <c r="H26" s="52"/>
      <c r="I26" s="54"/>
      <c r="J26" s="54"/>
      <c r="K26" s="11"/>
      <c r="L26" s="12"/>
      <c r="M26" s="31"/>
      <c r="N26" s="22"/>
      <c r="P26" s="251"/>
      <c r="Q26" s="251"/>
      <c r="R26" s="251"/>
      <c r="S26" s="251"/>
      <c r="T26" s="255" t="s">
        <v>262</v>
      </c>
      <c r="U26" s="260">
        <f>IF(SUM($S$32:$S$41)&gt;0,"",IF(ISNA(VLOOKUP("Latest engagement",$T$32:$AX$41,20,FALSE)),"",VLOOKUP("Latest engagement",$T$32:$AX$41,20,FALSE)))</f>
      </c>
      <c r="V26" s="257">
        <f>IF(U26="","",YEAR(U26))</f>
      </c>
      <c r="W26" s="261" t="s">
        <v>13</v>
      </c>
      <c r="X26" s="262">
        <f ca="1">YEAR(TODAY())</f>
        <v>2022</v>
      </c>
      <c r="Y26" s="260">
        <f>DATE(X26,1,1)</f>
        <v>44562</v>
      </c>
      <c r="Z26" s="260">
        <f>DATE(X26,12,31)</f>
        <v>44926</v>
      </c>
      <c r="AA26" s="260">
        <f ca="1">DATE(YEAR(TODAY())+1,12,31)</f>
        <v>45291</v>
      </c>
      <c r="AB26" s="256"/>
      <c r="AC26" s="256"/>
      <c r="AD26" s="256"/>
      <c r="AE26" s="256"/>
      <c r="AF26" s="256"/>
      <c r="AG26" s="256"/>
      <c r="AH26" s="256"/>
      <c r="AI26" s="256"/>
      <c r="AJ26" s="257"/>
      <c r="AK26" s="257"/>
      <c r="AL26" s="257"/>
      <c r="AM26" s="258"/>
      <c r="AN26" s="258"/>
      <c r="AO26" s="258"/>
      <c r="AP26" s="258"/>
      <c r="AQ26" s="258"/>
      <c r="AR26" s="258"/>
      <c r="AS26" s="257"/>
      <c r="AT26" s="257"/>
      <c r="AU26" s="257"/>
      <c r="AV26" s="257"/>
      <c r="AW26" s="257"/>
      <c r="AX26" s="251"/>
      <c r="AY26" s="251"/>
      <c r="AZ26" s="251"/>
      <c r="BA26" s="251"/>
      <c r="BB26" s="251"/>
      <c r="BC26" s="251"/>
      <c r="BD26" s="251"/>
      <c r="BE26" s="251"/>
      <c r="BF26" s="251"/>
      <c r="BG26" s="251"/>
      <c r="BH26" s="251"/>
    </row>
    <row r="27" spans="2:60" ht="8.25" customHeight="1">
      <c r="B27" s="32"/>
      <c r="C27" s="119"/>
      <c r="D27" s="121"/>
      <c r="E27" s="53"/>
      <c r="F27" s="53"/>
      <c r="G27" s="120"/>
      <c r="H27" s="52"/>
      <c r="I27" s="54"/>
      <c r="J27" s="54"/>
      <c r="K27" s="11"/>
      <c r="L27" s="12"/>
      <c r="M27" s="31"/>
      <c r="N27" s="22"/>
      <c r="P27" s="251"/>
      <c r="Q27" s="251"/>
      <c r="R27" s="251"/>
      <c r="S27" s="251"/>
      <c r="T27" s="251"/>
      <c r="U27" s="251"/>
      <c r="V27" s="257"/>
      <c r="W27" s="261" t="s">
        <v>14</v>
      </c>
      <c r="X27" s="262"/>
      <c r="Y27" s="260">
        <f>Y25</f>
        <v>44197</v>
      </c>
      <c r="Z27" s="260">
        <f>IF(C24&lt;&gt;AB181,Z26,AA26)</f>
        <v>44926</v>
      </c>
      <c r="AA27" s="260"/>
      <c r="AB27" s="256"/>
      <c r="AC27" s="256"/>
      <c r="AD27" s="256"/>
      <c r="AE27" s="256"/>
      <c r="AF27" s="256"/>
      <c r="AG27" s="256"/>
      <c r="AH27" s="256"/>
      <c r="AI27" s="256"/>
      <c r="AJ27" s="257"/>
      <c r="AK27" s="257"/>
      <c r="AL27" s="257"/>
      <c r="AM27" s="258"/>
      <c r="AN27" s="258"/>
      <c r="AO27" s="258"/>
      <c r="AP27" s="258"/>
      <c r="AQ27" s="258"/>
      <c r="AR27" s="258"/>
      <c r="AS27" s="257"/>
      <c r="AT27" s="257"/>
      <c r="AU27" s="257"/>
      <c r="AV27" s="257"/>
      <c r="AW27" s="257"/>
      <c r="AX27" s="251"/>
      <c r="AY27" s="251"/>
      <c r="AZ27" s="251"/>
      <c r="BA27" s="251"/>
      <c r="BB27" s="251"/>
      <c r="BC27" s="251"/>
      <c r="BD27" s="251"/>
      <c r="BE27" s="251"/>
      <c r="BF27" s="251"/>
      <c r="BG27" s="251"/>
      <c r="BH27" s="251"/>
    </row>
    <row r="28" spans="2:60" ht="16.5">
      <c r="B28" s="32"/>
      <c r="C28" s="119"/>
      <c r="D28" s="121"/>
      <c r="E28" s="123" t="s">
        <v>9</v>
      </c>
      <c r="F28" s="124"/>
      <c r="G28" s="125">
        <f>Y27</f>
        <v>44197</v>
      </c>
      <c r="H28" s="124" t="s">
        <v>15</v>
      </c>
      <c r="I28" s="343">
        <f>Z27</f>
        <v>44926</v>
      </c>
      <c r="J28" s="343"/>
      <c r="K28" s="47"/>
      <c r="L28" s="12"/>
      <c r="M28" s="31"/>
      <c r="N28" s="22"/>
      <c r="P28" s="251"/>
      <c r="Q28" s="251"/>
      <c r="R28" s="251"/>
      <c r="S28" s="251"/>
      <c r="T28" s="251"/>
      <c r="U28" s="251"/>
      <c r="V28" s="257"/>
      <c r="W28" s="261"/>
      <c r="X28" s="263"/>
      <c r="Y28" s="264"/>
      <c r="Z28" s="264"/>
      <c r="AA28" s="264"/>
      <c r="AB28" s="256"/>
      <c r="AC28" s="256"/>
      <c r="AD28" s="256"/>
      <c r="AE28" s="256"/>
      <c r="AF28" s="256"/>
      <c r="AG28" s="256"/>
      <c r="AH28" s="256"/>
      <c r="AI28" s="256"/>
      <c r="AJ28" s="257"/>
      <c r="AK28" s="257"/>
      <c r="AL28" s="257"/>
      <c r="AM28" s="258"/>
      <c r="AN28" s="258"/>
      <c r="AO28" s="258"/>
      <c r="AP28" s="258"/>
      <c r="AQ28" s="258"/>
      <c r="AR28" s="258"/>
      <c r="AS28" s="257"/>
      <c r="AT28" s="257"/>
      <c r="AU28" s="257"/>
      <c r="AV28" s="257"/>
      <c r="AW28" s="257"/>
      <c r="AX28" s="251"/>
      <c r="AY28" s="251"/>
      <c r="AZ28" s="251"/>
      <c r="BA28" s="251"/>
      <c r="BB28" s="251"/>
      <c r="BC28" s="251"/>
      <c r="BD28" s="251"/>
      <c r="BE28" s="251"/>
      <c r="BF28" s="251"/>
      <c r="BG28" s="251"/>
      <c r="BH28" s="251"/>
    </row>
    <row r="29" spans="2:60" ht="8.25" customHeight="1" hidden="1">
      <c r="B29" s="32"/>
      <c r="C29" s="119"/>
      <c r="D29" s="121"/>
      <c r="E29" s="33"/>
      <c r="F29" s="33"/>
      <c r="G29" s="126"/>
      <c r="H29" s="10"/>
      <c r="I29" s="11"/>
      <c r="J29" s="11"/>
      <c r="K29" s="11"/>
      <c r="L29" s="12"/>
      <c r="M29" s="31"/>
      <c r="N29" s="22"/>
      <c r="P29" s="251"/>
      <c r="Q29" s="251"/>
      <c r="R29" s="251"/>
      <c r="S29" s="251"/>
      <c r="T29" s="251"/>
      <c r="U29" s="251"/>
      <c r="V29" s="257"/>
      <c r="W29" s="261" t="s">
        <v>16</v>
      </c>
      <c r="X29" s="265">
        <f>G32</f>
        <v>0</v>
      </c>
      <c r="Y29" s="266">
        <f>DATE(YEAR(G32)+1,MONTH(G32),DAY(G32))</f>
        <v>366</v>
      </c>
      <c r="Z29" s="256"/>
      <c r="AA29" s="256"/>
      <c r="AB29" s="256"/>
      <c r="AC29" s="256"/>
      <c r="AD29" s="256"/>
      <c r="AE29" s="256"/>
      <c r="AF29" s="256"/>
      <c r="AG29" s="256"/>
      <c r="AH29" s="256"/>
      <c r="AI29" s="256"/>
      <c r="AJ29" s="257"/>
      <c r="AK29" s="257"/>
      <c r="AL29" s="257"/>
      <c r="AM29" s="258"/>
      <c r="AN29" s="258"/>
      <c r="AO29" s="258"/>
      <c r="AP29" s="258"/>
      <c r="AQ29" s="258"/>
      <c r="AR29" s="258"/>
      <c r="AS29" s="257"/>
      <c r="AT29" s="257"/>
      <c r="AU29" s="257"/>
      <c r="AV29" s="257"/>
      <c r="AW29" s="257"/>
      <c r="AX29" s="251"/>
      <c r="AY29" s="251"/>
      <c r="AZ29" s="251"/>
      <c r="BA29" s="251"/>
      <c r="BB29" s="251"/>
      <c r="BC29" s="251"/>
      <c r="BD29" s="251"/>
      <c r="BE29" s="251"/>
      <c r="BF29" s="251"/>
      <c r="BG29" s="251"/>
      <c r="BH29" s="251"/>
    </row>
    <row r="30" spans="3:60" ht="10.5" customHeight="1">
      <c r="C30" s="94"/>
      <c r="D30" s="127"/>
      <c r="E30" s="98"/>
      <c r="F30" s="98"/>
      <c r="G30" s="98"/>
      <c r="H30" s="10"/>
      <c r="I30" s="11"/>
      <c r="J30" s="11"/>
      <c r="K30" s="11"/>
      <c r="L30" s="34"/>
      <c r="M30" s="31"/>
      <c r="N30" s="22"/>
      <c r="P30" s="251"/>
      <c r="Q30" s="251"/>
      <c r="R30" s="251" t="s">
        <v>17</v>
      </c>
      <c r="S30" s="251" t="s">
        <v>18</v>
      </c>
      <c r="T30" s="251"/>
      <c r="U30" s="267">
        <f>X25</f>
        <v>2021</v>
      </c>
      <c r="V30" s="262">
        <f>X26</f>
        <v>2022</v>
      </c>
      <c r="W30" s="339" t="s">
        <v>19</v>
      </c>
      <c r="X30" s="339"/>
      <c r="Y30" s="268" t="s">
        <v>20</v>
      </c>
      <c r="Z30" s="268"/>
      <c r="AA30" s="268"/>
      <c r="AB30" s="268"/>
      <c r="AC30" s="268"/>
      <c r="AD30" s="268"/>
      <c r="AE30" s="268"/>
      <c r="AF30" s="268"/>
      <c r="AG30" s="268"/>
      <c r="AH30" s="268"/>
      <c r="AI30" s="268"/>
      <c r="AJ30" s="268"/>
      <c r="AK30" s="251"/>
      <c r="AL30" s="339" t="s">
        <v>19</v>
      </c>
      <c r="AM30" s="339"/>
      <c r="AN30" s="340" t="s">
        <v>21</v>
      </c>
      <c r="AO30" s="340"/>
      <c r="AP30" s="340"/>
      <c r="AQ30" s="340"/>
      <c r="AR30" s="340"/>
      <c r="AS30" s="340"/>
      <c r="AT30" s="340"/>
      <c r="AU30" s="340"/>
      <c r="AV30" s="340"/>
      <c r="AW30" s="340"/>
      <c r="AX30" s="340"/>
      <c r="AY30" s="251"/>
      <c r="AZ30" s="251"/>
      <c r="BA30" s="251"/>
      <c r="BB30" s="251"/>
      <c r="BC30" s="251"/>
      <c r="BD30" s="251"/>
      <c r="BE30" s="251"/>
      <c r="BF30" s="251"/>
      <c r="BG30" s="251"/>
      <c r="BH30" s="257"/>
    </row>
    <row r="31" spans="2:60" ht="34.5">
      <c r="B31" s="32"/>
      <c r="C31" s="128"/>
      <c r="D31" s="127"/>
      <c r="E31" s="341"/>
      <c r="F31" s="341"/>
      <c r="G31" s="129" t="s">
        <v>318</v>
      </c>
      <c r="H31" s="129" t="s">
        <v>256</v>
      </c>
      <c r="I31" s="342" t="str">
        <f>IF(C24=AB181,"No. of days in Singapore in the relevant period(s)","No. of days in Singapore")</f>
        <v>No. of days in Singapore</v>
      </c>
      <c r="J31" s="342"/>
      <c r="K31" s="342"/>
      <c r="L31" s="342"/>
      <c r="M31" s="342"/>
      <c r="N31" s="22"/>
      <c r="P31" s="251"/>
      <c r="Q31" s="251"/>
      <c r="R31" s="251"/>
      <c r="S31" s="251"/>
      <c r="T31" s="255" t="s">
        <v>202</v>
      </c>
      <c r="U31" s="251" t="s">
        <v>22</v>
      </c>
      <c r="V31" s="257" t="s">
        <v>22</v>
      </c>
      <c r="W31" s="257" t="s">
        <v>23</v>
      </c>
      <c r="X31" s="257" t="s">
        <v>24</v>
      </c>
      <c r="Y31" s="266">
        <f>X32</f>
      </c>
      <c r="Z31" s="266">
        <f>X33</f>
      </c>
      <c r="AA31" s="266">
        <f>X34</f>
      </c>
      <c r="AB31" s="266">
        <f>X35</f>
      </c>
      <c r="AC31" s="266">
        <f>X36</f>
      </c>
      <c r="AD31" s="269">
        <f>X37</f>
      </c>
      <c r="AE31" s="269">
        <f>X38</f>
      </c>
      <c r="AF31" s="269">
        <f>X39</f>
      </c>
      <c r="AG31" s="269">
        <f>X40</f>
      </c>
      <c r="AH31" s="269">
        <f>X41</f>
      </c>
      <c r="AI31" s="269"/>
      <c r="AJ31" s="269"/>
      <c r="AK31" s="251"/>
      <c r="AL31" s="257" t="s">
        <v>23</v>
      </c>
      <c r="AM31" s="257" t="s">
        <v>24</v>
      </c>
      <c r="AN31" s="265">
        <f>AL32</f>
      </c>
      <c r="AO31" s="265">
        <f>AL33</f>
      </c>
      <c r="AP31" s="265">
        <f>AL34</f>
      </c>
      <c r="AQ31" s="265">
        <f>AL35</f>
      </c>
      <c r="AR31" s="265">
        <f>AL36</f>
      </c>
      <c r="AS31" s="270">
        <f>AL37</f>
      </c>
      <c r="AT31" s="270">
        <f>AL38</f>
      </c>
      <c r="AU31" s="270">
        <f>AL39</f>
      </c>
      <c r="AV31" s="270">
        <f>AL40</f>
      </c>
      <c r="AW31" s="270">
        <f>AL41</f>
      </c>
      <c r="AX31" s="251"/>
      <c r="AY31" s="251"/>
      <c r="AZ31" s="251"/>
      <c r="BA31" s="251"/>
      <c r="BB31" s="251"/>
      <c r="BC31" s="251"/>
      <c r="BD31" s="251"/>
      <c r="BE31" s="251"/>
      <c r="BF31" s="251"/>
      <c r="BG31" s="257"/>
      <c r="BH31" s="257"/>
    </row>
    <row r="32" spans="2:60" ht="30" customHeight="1">
      <c r="B32" s="42"/>
      <c r="C32" s="130">
        <f aca="true" t="shared" si="0" ref="C32:C41">IF(I32="","",IF($C$24=$AB$181,IF(AX32&gt;VLOOKUP($AC$188,$AC$192:$AJ$288,$AJ$190,FALSE),"Taxable","Exempt")))</f>
      </c>
      <c r="D32" s="237">
        <v>1</v>
      </c>
      <c r="E32" s="337" t="s">
        <v>242</v>
      </c>
      <c r="F32" s="337"/>
      <c r="G32" s="131"/>
      <c r="H32" s="132"/>
      <c r="I32" s="338">
        <f>IF(OR($AC$188="",R31&gt;0,LEFT($O$48,4)="None")=TRUE,"",IF(Q32&lt;&gt;"",Q32,IF(OR(AND($C$24=$AB$181,P32=1)=TRUE,AND(G32="",H32="")=TRUE)=TRUE,"",IF(AND(OR(G32&lt;&gt;"",H32&lt;&gt;"")=TRUE,$AC$188="")=TRUE,$AC$139,IF($C$24&lt;&gt;$AB$181,SUM(U32:V32),CONCATENATE($AC$164,AY32,AK32))))))</f>
      </c>
      <c r="J32" s="338"/>
      <c r="K32" s="338"/>
      <c r="L32" s="338"/>
      <c r="M32" s="338"/>
      <c r="N32" s="133"/>
      <c r="P32" s="271">
        <f aca="true" t="shared" si="1" ref="P32:P40">IF(COUNTA(G32:H33)=4,1,0)</f>
        <v>0</v>
      </c>
      <c r="Q32" s="251">
        <f aca="true" t="shared" si="2" ref="Q32:Q40">IF((AND(COUNTBLANK(G32:H32)=2,COUNTBLANK(G33:H33)&lt;2))=TRUE,"Do not skip any row",IF(COUNTBLANK(G32:H32)=2,"",IF(COUNTBLANK(G32)=1,"Please enter start date of engagement",IF(COUNTBLANK(H32)=1,"Please enter end date of engagement",IF(H32&lt;G32,"Engagement end date is earlier than engagement start date","")))))</f>
      </c>
      <c r="R32" s="251">
        <f>COUNTA($Q$32:Q32)-COUNTIF($Q$32:Q32,"")</f>
        <v>0</v>
      </c>
      <c r="S32" s="251">
        <f>1-COUNTIF(Q32,"")</f>
        <v>0</v>
      </c>
      <c r="T32" s="251">
        <f aca="true" t="shared" si="3" ref="T32:T41">IF(AND(U33="",V33="",U32&lt;&gt;"",V32&lt;&gt;""),"latest engagement","")</f>
      </c>
      <c r="U32" s="251">
        <f aca="true" t="shared" si="4" ref="U32:U41">IF(AND(YEAR($G32)=$U$30,YEAR($H32)=$U$30)=TRUE,$H32-$G32+1,IF(AND(YEAR($G32)=$V$30,YEAR($H32)=$V$30)=TRUE,0,IF(OR($G32="",$H32="")=TRUE,"",$Z$25-$G32+1)))</f>
      </c>
      <c r="V32" s="251">
        <f aca="true" t="shared" si="5" ref="V32:V42">IF(AND(YEAR($G32)=$V$30,YEAR($H32)=$V$30)=TRUE,$H32-$G32+1,IF(AND(YEAR($G32)=$U$30,YEAR($H32)=$U$30)=TRUE,0,IF(OR($G32="",$H32="")=TRUE,"",$H32-$Y$26+1)))</f>
      </c>
      <c r="W32" s="265">
        <f aca="true" t="shared" si="6" ref="W32:W41">IF(G32="","",DATE(YEAR(G32),MONTH(G32),DAY(G32)))</f>
      </c>
      <c r="X32" s="265">
        <f>IF(G32="","",IF(VLOOKUP($AC$188,$AC$192:$AI$288,$AI$190,FALSE)="",EDATE(G32-1,12),EDATE(G32-1,15)))</f>
      </c>
      <c r="Y32" s="256">
        <f>IF(OR(G32="",H32="")=TRUE,0,IF(AM32&lt;=H32,AM32,H32)-AL32+1)</f>
        <v>0</v>
      </c>
      <c r="Z32" s="256">
        <v>0</v>
      </c>
      <c r="AA32" s="256">
        <v>0</v>
      </c>
      <c r="AB32" s="256">
        <v>0</v>
      </c>
      <c r="AC32" s="256">
        <v>0</v>
      </c>
      <c r="AD32" s="256">
        <v>0</v>
      </c>
      <c r="AE32" s="256">
        <v>0</v>
      </c>
      <c r="AF32" s="256">
        <v>0</v>
      </c>
      <c r="AG32" s="256">
        <v>0</v>
      </c>
      <c r="AH32" s="256">
        <v>0</v>
      </c>
      <c r="AI32" s="256"/>
      <c r="AJ32" s="256">
        <v>1</v>
      </c>
      <c r="AK32" s="272">
        <f>IF(OR(AL32="",AM32="")=TRUE,"",CONCATENATE(IF(VLOOKUP($AC$188,$AC$192:$AI$288,$AI$190,FALSE)="","in the 12-month period from ","in the 15-month period from "),TEXT(AL32,"D MMM YYYY to "),TEXT(AM32,"D MMM YYYY"),"."))</f>
      </c>
      <c r="AL32" s="270">
        <f>IF(H32="","",IF(IF(VLOOKUP($AC$188,$AC$192:$AI$288,$AI$190,FALSE)="",EDATE(H32+1,-12),EDATE(H32+1,-15))&lt;=G32,G32,IF(VLOOKUP($AC$188,$AC$192:$AI$288,$AI$190,FALSE)="",EDATE(H32+1,-12),EDATE(H32+1,-15))))</f>
      </c>
      <c r="AM32" s="270">
        <f aca="true" t="shared" si="7" ref="AM32:AM41">IF(H32="","",H32)</f>
      </c>
      <c r="AN32" s="257">
        <f>IF(OR(G32="",H32="")=TRUE,0,IF(AM32&lt;=H32,AM32,H32)-AL32+1)</f>
        <v>0</v>
      </c>
      <c r="AO32" s="257">
        <f>IF(OR(G32="",H32="",G33="",H33="")=TRUE,0,IF(AND(AL33&gt;G32,AL33&gt;H32)=TRUE,0,IF(AL33&gt;=H32,AL33,IF(H32&lt;=AM33,H32,AM33))-IF(AL33&gt;=G32,AL33,G32)+1))</f>
        <v>0</v>
      </c>
      <c r="AP32" s="257">
        <f>IF(OR(G32="",H32="",G33="",H33="",G34="",H34="")=TRUE,0,IF(AND(AL34&gt;G32,AL34&gt;H32)=TRUE,0,IF(AL34&gt;=H32,AL34,IF(H32&lt;=AM34,H32,AM34))-IF(AL34&gt;=G32,AL34,G32)+1))</f>
        <v>0</v>
      </c>
      <c r="AQ32" s="257">
        <f>IF(OR(G32="",H32="",G33="",H33="",G34="",H34="",G35="",H35="")=TRUE,0,IF(AND(AL35&gt;G32,AL35&gt;H32)=TRUE,0,IF(AL35&gt;=H32,AL35,IF(H32&lt;=AM35,H32,AM35))-IF(AL35&gt;=G32,AL35,G32)+1))</f>
        <v>0</v>
      </c>
      <c r="AR32" s="258">
        <f>IF(OR(G32="",H32="",G33="",H33="",G34="",H34="",G35="",H35="",G36="",H36="")=TRUE,0,IF(AND(AL36&gt;G32,AL36&gt;H32)=TRUE,0,IF(AL36&gt;=H32,AL36,IF(H32&lt;=AM36,H32,AM36))-IF(AL36&gt;=G32,AL36,G32)+1))</f>
        <v>0</v>
      </c>
      <c r="AS32" s="257">
        <f>IF(OR(G32="",H32="",G33="",H33="",G34="",H34="",G35="",H35="",G36="",H36="",G37="",H37="")=TRUE,0,IF(AND(AL37&gt;G32,AL37&gt;H32)=TRUE,0,IF(AL37&gt;=H32,AL37,IF(H32&lt;=AM37,H32,AM37))-IF(AL37&gt;=G32,AL37,G32)+1))</f>
        <v>0</v>
      </c>
      <c r="AT32" s="257">
        <f>IF(OR(G32="",H32="",G33="",H33="",G34="",H34="",G35="",H35="",G36="",H36="",G37="",H37="",G38="",H38="")=TRUE,0,IF(AND(AL38&gt;G32,AL38&gt;H32)=TRUE,0,IF(AL38&gt;=H32,AL38,IF(H32&lt;=AM38,H32,AM38))-IF(AL38&gt;=G32,AL38,G32)+1))</f>
        <v>0</v>
      </c>
      <c r="AU32" s="257">
        <f>IF(OR(G32="",H32="",G33="",H33="",G34="",H34="",G35="",H35="",G36="",H36="",G37="",H37="",G38="",H38="",G39="",H39="")=TRUE,0,IF(AND(AL39&gt;G32,AL39&gt;H32)=TRUE,0,IF(AL39&gt;=H32,AL39,IF(H32&lt;=AM39,H32,AM39))-IF(AL39&gt;=G32,AL39,G32)+1))</f>
        <v>0</v>
      </c>
      <c r="AV32" s="257">
        <f>IF(OR(G32="",H32="",G33="",H33="",G34="",H34="",G35="",H35="",G36="",H36="",G37="",H37="",G38="",H38="",G39="",H39="",G40="",H40="")=TRUE,0,IF(AND(AL40&gt;G32,AL40&gt;H32)=TRUE,0,IF(AL40&gt;=H32,AL40,IF(H32&lt;=AM40,H32,AM40))-IF(AL40&gt;=G32,AL40,G32)+1))</f>
        <v>0</v>
      </c>
      <c r="AW32" s="257">
        <f>IF(OR(G32="",H32="",G33="",H33="",G34="",H34="",G35="",H35="",G36="",H36="",G37="",H37="",G38="",H38="",G39="",H39="",G40="",H40="",G41="",H41="")=TRUE,0,IF(AND(AL41&gt;G32,AL41&gt;H32)=TRUE,0,IF(AL41&gt;=H32,AL41,IF(H32&lt;=AM41,H32,AM41))-IF(AL41&gt;=G32,AL41,G32)+1))</f>
        <v>0</v>
      </c>
      <c r="AX32" s="251">
        <f>AN43</f>
        <v>0</v>
      </c>
      <c r="AY32" s="251" t="str">
        <f aca="true" t="shared" si="8" ref="AY32:AY41">CONCATENATE("totalled ",IF($C$24=$AB$180,V32,IF($C$24=$AB$181,AX32,"")),IF(OR(AND($C$24=$AB$180,V32=1)=TRUE,AND($C$24=$AB$181,AX32=1)=TRUE)=TRUE," day "," days "))</f>
        <v>totalled  days </v>
      </c>
      <c r="AZ32" s="251"/>
      <c r="BA32" s="251"/>
      <c r="BB32" s="251"/>
      <c r="BC32" s="251"/>
      <c r="BD32" s="251"/>
      <c r="BE32" s="251"/>
      <c r="BF32" s="251"/>
      <c r="BG32" s="257"/>
      <c r="BH32" s="257"/>
    </row>
    <row r="33" spans="2:60" ht="30" customHeight="1">
      <c r="B33" s="42"/>
      <c r="C33" s="130">
        <f t="shared" si="0"/>
      </c>
      <c r="D33" s="237">
        <v>2</v>
      </c>
      <c r="E33" s="337" t="s">
        <v>243</v>
      </c>
      <c r="F33" s="337"/>
      <c r="G33" s="131"/>
      <c r="H33" s="132"/>
      <c r="I33" s="338">
        <f>IF(OR($AC$188="",R32&gt;0,LEFT($O$48,4)="None")=TRUE,"",IF(Q33&lt;&gt;"",Q33,IF(OR(AND($C$24=$AB$181,P33=1)=TRUE,AND(G33="",H33="")=TRUE)=TRUE,"",IF(AND(OR(G33&lt;&gt;"",H33&lt;&gt;"")=TRUE,$AC$188="")=TRUE,$AC$139,IF($C$24&lt;&gt;$AB$181,SUM(U33:V33),CONCATENATE($AC$164,AY33,AK33))))))</f>
      </c>
      <c r="J33" s="338"/>
      <c r="K33" s="338"/>
      <c r="L33" s="338"/>
      <c r="M33" s="338"/>
      <c r="N33" s="133">
        <f>IF(G33="","",IF(G33&lt;=H32,"Engagement overlaps",""))</f>
      </c>
      <c r="P33" s="271">
        <f t="shared" si="1"/>
        <v>0</v>
      </c>
      <c r="Q33" s="251">
        <f t="shared" si="2"/>
      </c>
      <c r="R33" s="251">
        <f>COUNTA($Q$32:Q33)-COUNTIF($Q$32:Q33,"")</f>
        <v>0</v>
      </c>
      <c r="S33" s="251">
        <f aca="true" t="shared" si="9" ref="S33:S41">1-COUNTIF(Q33,"")</f>
        <v>0</v>
      </c>
      <c r="T33" s="251">
        <f t="shared" si="3"/>
      </c>
      <c r="U33" s="251">
        <f t="shared" si="4"/>
      </c>
      <c r="V33" s="251">
        <f t="shared" si="5"/>
      </c>
      <c r="W33" s="265">
        <f t="shared" si="6"/>
      </c>
      <c r="X33" s="265">
        <f>IF(G33="","",IF(VLOOKUP($AC$188,$AC$192:$AI$288,$AI$190,FALSE)="",EDATE(G33-1,12),EDATE(G33-1,15)))</f>
      </c>
      <c r="Y33" s="256">
        <f>IF(OR(G32="",H32="",G33="",H33="")=TRUE,0,IF(G33&gt;X32,0,IF(AM32&lt;=H32,AM32,H32)-AL32+1)+IF(G33&gt;X32,0,IF(H33&lt;=X32,H33,X32)-IF(G33=X32,X32,G33)+1))</f>
        <v>0</v>
      </c>
      <c r="Z33" s="256">
        <f>IF(OR(G32="",H32="",G33="",H33="")=TRUE,0,IF(G33&gt;X33,0,IF(H33&lt;=X33,H33,X33)-IF(G33=X33,X33,G33)+1))</f>
        <v>0</v>
      </c>
      <c r="AA33" s="256">
        <v>0</v>
      </c>
      <c r="AB33" s="256">
        <v>0</v>
      </c>
      <c r="AC33" s="256">
        <v>0</v>
      </c>
      <c r="AD33" s="256">
        <v>0</v>
      </c>
      <c r="AE33" s="256">
        <v>0</v>
      </c>
      <c r="AF33" s="256">
        <v>0</v>
      </c>
      <c r="AG33" s="256">
        <v>0</v>
      </c>
      <c r="AH33" s="256">
        <v>0</v>
      </c>
      <c r="AI33" s="256"/>
      <c r="AJ33" s="256">
        <v>2</v>
      </c>
      <c r="AK33" s="272">
        <f>IF(OR(AL33="",AM33="")=TRUE,"",CONCATENATE(IF(VLOOKUP($AC$188,$AC$192:$AI$288,$AI$190,FALSE)="","in the 12-month period from ","in the 15-month period from "),TEXT(AL33,"D MMM YYYY to "),TEXT(AM33,"D MMM YYYY"),"."))</f>
      </c>
      <c r="AL33" s="270">
        <f>IF(H33="","",IF(IF(VLOOKUP($AC$188,$AC$192:$AI$288,$AI$190,FALSE)="",EDATE(H33+1,-12),EDATE(H33+1,-15))&lt;=AL32,AL32,IF(VLOOKUP($AC$188,$AC$192:$AI$288,$AI$190,FALSE)="",EDATE(H33+1,-12),EDATE(H33+1,-15))))</f>
      </c>
      <c r="AM33" s="270">
        <f t="shared" si="7"/>
      </c>
      <c r="AN33" s="257">
        <v>0</v>
      </c>
      <c r="AO33" s="257">
        <f>IF(OR(G32="",H32="",G33="",H33="")=TRUE,0,AM33-IF(AL33&gt;=G33,AL33,G33)+1)</f>
        <v>0</v>
      </c>
      <c r="AP33" s="257">
        <f>IF(OR(G32="",H32="",G33="",H33="",G34="",H34="")=TRUE,0,IF(IF(AL34&gt;G33,AL34&gt;H33)=TRUE,0,IF(AL34&gt;=H33,AL34,IF(H33&lt;=AM34,H33,AM34))-IF(AL34&gt;=G33,AL34,G33)+1))</f>
        <v>0</v>
      </c>
      <c r="AQ33" s="257">
        <f>IF(OR(G32="",H32="",G33="",H33="",G34="",H34="",G35="",H35="")=TRUE,0,IF(AND(AL35&gt;G33,AL35&gt;H33)=TRUE,0,IF(AL35&gt;=H33,AL35,IF(H33&lt;=AM35,H33,AM35))-IF(AL35&gt;=G33,AL35,G33)+1))</f>
        <v>0</v>
      </c>
      <c r="AR33" s="258">
        <f>IF(OR(G32="",H32="",G33="",H33="",G34="",H34="",G35="",H35="",G36="",H36="")=TRUE,0,IF(AND(AL36&gt;G33,AL36&gt;H33)=TRUE,0,IF(AL36&gt;=H33,AL36,IF(H33&lt;=AM36,H33,AM36))-IF(AL36&gt;=G33,AL36,G33)+1))</f>
        <v>0</v>
      </c>
      <c r="AS33" s="257">
        <f>IF(OR(G32="",H32="",G33="",H33="",G34="",H34="",G35="",H35="",G36="",H36="",G37="",H37="")=TRUE,0,IF(AND(AL37&gt;G33,AL37&gt;H33)=TRUE,0,IF(AL37&gt;=H33,AL37,IF(H33&lt;=AM37,H33,AM37))-IF(AL37&gt;=G33,AL37,G33)+1))</f>
        <v>0</v>
      </c>
      <c r="AT33" s="257">
        <f>IF(OR(G32="",H32="",G33="",H33="",G34="",H34="",G35="",H35="",G36="",H36="",G37="",H37="",G38="",H38="")=TRUE,0,IF(AND(AL38&gt;G33,AL38&gt;H33)=TRUE,0,IF(AL38&gt;=H33,AL38,IF(H33&lt;=AM38,H33,AM38))-IF(AL38&gt;=G33,AL38,G33)+1))</f>
        <v>0</v>
      </c>
      <c r="AU33" s="257">
        <f>IF(OR(G32="",H32="",G33="",H33="",G34="",H34="",G35="",H35="",G36="",H36="",G37="",H37="",G38="",H38="",G39="",H39="")=TRUE,0,IF(AND(AL39&gt;G33,AL39&gt;H33)=TRUE,0,IF(AL39&gt;=H33,AL39,IF(H33&lt;=AM39,H33,AM39))-IF(AL39&gt;=G33,AL39,G33)+1))</f>
        <v>0</v>
      </c>
      <c r="AV33" s="257">
        <f>IF(OR(G32="",H32="",G33="",H33="",G34="",H34="",G35="",H35="",G36="",H36="",G37="",H37="",G38="",H38="",G39="",H39="",G40="",H40="")=TRUE,0,IF(AND(AL40&gt;G33,AL40&gt;H33)=TRUE,0,IF(AL40&gt;=H33,AL40,IF(H33&lt;=AM40,H33,AM40))-IF(AL40&gt;=G33,AL40,G33)+1))</f>
        <v>0</v>
      </c>
      <c r="AW33" s="257">
        <f>IF(OR(G32="",H32="",G33="",H33="",G34="",H34="",G35="",H35="",G36="",H36="",G37="",H37="",G38="",H38="",G39="",H39="",G40="",H40="",G41="",H41="")=TRUE,0,IF(AND(AL41&gt;G33,AL41&gt;H33)=TRUE,0,IF(AL41&gt;=H33,AL41,IF(H33&lt;=AM41,H33,AM41))-IF(AL41&gt;=G33,AL41,G33)+1))</f>
        <v>0</v>
      </c>
      <c r="AX33" s="251">
        <f>AO43</f>
        <v>0</v>
      </c>
      <c r="AY33" s="251" t="str">
        <f t="shared" si="8"/>
        <v>totalled  days </v>
      </c>
      <c r="AZ33" s="251"/>
      <c r="BA33" s="251"/>
      <c r="BB33" s="251"/>
      <c r="BC33" s="251"/>
      <c r="BD33" s="251"/>
      <c r="BE33" s="251"/>
      <c r="BF33" s="251"/>
      <c r="BG33" s="257"/>
      <c r="BH33" s="257"/>
    </row>
    <row r="34" spans="2:60" ht="30" customHeight="1">
      <c r="B34" s="42"/>
      <c r="C34" s="130">
        <f t="shared" si="0"/>
      </c>
      <c r="D34" s="237">
        <v>3</v>
      </c>
      <c r="E34" s="337" t="s">
        <v>244</v>
      </c>
      <c r="F34" s="337"/>
      <c r="G34" s="131"/>
      <c r="H34" s="132"/>
      <c r="I34" s="338">
        <f>IF(OR($AC$188="",R33&gt;0,LEFT($O$48,4)="None")=TRUE,"",IF(Q34&lt;&gt;"",Q34,IF(OR(AND($C$24=$AB$181,P34=1)=TRUE,AND(G34="",H34="")=TRUE)=TRUE,"",IF(AND(OR(G34&lt;&gt;"",H34&lt;&gt;"")=TRUE,$AC$188="")=TRUE,$AC$139,IF($C$24&lt;&gt;$AB$181,SUM(U34:V34),CONCATENATE($AC$164,AY34,AK34))))))</f>
      </c>
      <c r="J34" s="338"/>
      <c r="K34" s="338"/>
      <c r="L34" s="338"/>
      <c r="M34" s="338"/>
      <c r="N34" s="133">
        <f>IF(G34="","",IF(G34&lt;=H33,"Engagement overlaps",""))</f>
      </c>
      <c r="P34" s="271">
        <f t="shared" si="1"/>
        <v>0</v>
      </c>
      <c r="Q34" s="251">
        <f t="shared" si="2"/>
      </c>
      <c r="R34" s="251">
        <f>COUNTA($Q$32:Q34)-COUNTIF($Q$32:Q34,"")</f>
        <v>0</v>
      </c>
      <c r="S34" s="251">
        <f t="shared" si="9"/>
        <v>0</v>
      </c>
      <c r="T34" s="251">
        <f t="shared" si="3"/>
      </c>
      <c r="U34" s="251">
        <f t="shared" si="4"/>
      </c>
      <c r="V34" s="251">
        <f t="shared" si="5"/>
      </c>
      <c r="W34" s="265">
        <f t="shared" si="6"/>
      </c>
      <c r="X34" s="265">
        <f>IF(G34="","",IF(VLOOKUP($AC$188,$AC$192:$AI$288,$AI$190,FALSE)="",EDATE(G34-1,12),EDATE(G34-1,15)))</f>
      </c>
      <c r="Y34" s="256">
        <f>IF(OR(G32="",H32="",G33="",H33="",G34="",H34="")=TRUE,0,IF(G33&gt;X32,0,IF(AM32&lt;=H32,AM32,H32)-AL32+1)+IF(G33&gt;X32,0,IF(H33&lt;=X32,H33,X32)-IF(G33=X32,X32,G33)+1)+IF(G34&gt;X32,0,IF(H34&lt;=X32,H34,X32)-IF(G34=X32,X32,G34)+1))</f>
        <v>0</v>
      </c>
      <c r="Z34" s="256">
        <f>IF(OR(G32="",H32="",G33="",H33="",G34="",H34="")=TRUE,0,IF(G33&gt;X33,0,IF(H33&lt;=X33,H33,X33)-IF(G33=X33,X33,G33)+1)+IF(G34&gt;X33,0,IF(H34&lt;=X33,H34,X33)-IF(G34=X33,X33,G34)+1))</f>
        <v>0</v>
      </c>
      <c r="AA34" s="256">
        <f>IF(OR(G32="",H32="",G33="",H33="",G34="",H34="")=TRUE,0,IF(G34&gt;X34,0,IF(H34&lt;=X34,H34,X34)-IF(G34=X34,X34,G34)+1))</f>
        <v>0</v>
      </c>
      <c r="AB34" s="256">
        <v>0</v>
      </c>
      <c r="AC34" s="256">
        <v>0</v>
      </c>
      <c r="AD34" s="256">
        <v>0</v>
      </c>
      <c r="AE34" s="256">
        <v>0</v>
      </c>
      <c r="AF34" s="256">
        <v>0</v>
      </c>
      <c r="AG34" s="256">
        <v>0</v>
      </c>
      <c r="AH34" s="256">
        <v>0</v>
      </c>
      <c r="AI34" s="256"/>
      <c r="AJ34" s="256">
        <v>3</v>
      </c>
      <c r="AK34" s="272">
        <f>IF(OR(AL34="",AM34="")=TRUE,"",CONCATENATE(IF(VLOOKUP($AC$188,$AC$192:$AI$288,$AI$190,FALSE)="","in the 12-month period from ","in the 15-month period from "),TEXT(AL34,"D MMM YYYY to "),TEXT(AM34,"D MMM YYYY"),"."))</f>
      </c>
      <c r="AL34" s="270">
        <f>IF(H34="","",IF(IF(VLOOKUP($AC$188,$AC$192:$AI$288,$AI$190,FALSE)="",EDATE(H34+1,-12),EDATE(H34+1,-15))&lt;=AL33,AL33,IF(VLOOKUP($AC$188,$AC$192:$AI$288,$AI$190,FALSE)="",EDATE(H34+1,-12),EDATE(H34+1,-15))))</f>
      </c>
      <c r="AM34" s="270">
        <f t="shared" si="7"/>
      </c>
      <c r="AN34" s="257">
        <v>0</v>
      </c>
      <c r="AO34" s="257">
        <v>0</v>
      </c>
      <c r="AP34" s="257">
        <f>IF(OR(G32="",H32="",G33="",H33="",G34="",H34="")=TRUE,0,AM34-IF(AL34&gt;=G34,AL33,G34)+1)</f>
        <v>0</v>
      </c>
      <c r="AQ34" s="257">
        <f>IF(OR(G32="",H32="",G33="",H33="",G34="",H34="",G35="",H35="")=TRUE,0,IF(AND(AL35&gt;G34,AL35&gt;H34)=TRUE,0,IF(AL35&gt;=H34,AL35,IF(H34&lt;=AM35,H34,AM35))-IF(AL35&gt;=G34,AL35,G34)+1))</f>
        <v>0</v>
      </c>
      <c r="AR34" s="258">
        <f>IF(OR(G32="",H32="",G33="",H33="",G34="",H34="",G35="",H35="",G36="",H36="")=TRUE,0,IF(AND(AL36&gt;G34,AL36&gt;H34)=TRUE,0,IF(AL36&gt;=H34,AL36,IF(H34&lt;=AM36,H34,AM36))-IF(AL36&gt;=G34,AL36,G34)+1))</f>
        <v>0</v>
      </c>
      <c r="AS34" s="257">
        <f>IF(OR(G32="",H32="",G33="",H33="",G34="",H34="",G35="",H35="",G36="",H36="",G37="",H37="")=TRUE,0,IF(AND(AL37&gt;G34,AL37&gt;H34)=TRUE,0,IF(AL37&gt;=H34,AL37,IF(H34&lt;=AM37,H34,AM37))-IF(AL37&gt;=G34,AL37,G34)+1))</f>
        <v>0</v>
      </c>
      <c r="AT34" s="257">
        <f>IF(OR(G32="",H32="",G33="",H33="",G34="",H34="",G35="",H35="",G36="",H36="",G37="",H37="",G38="",H38="")=TRUE,0,IF(AND(AL38&gt;G34,AL38&gt;H34)=TRUE,0,IF(AL38&gt;=H34,AL38,IF(H34&lt;=AM38,H34,AM38))-IF(AL38&gt;=G34,AL38,G34)+1))</f>
        <v>0</v>
      </c>
      <c r="AU34" s="257">
        <f>IF(OR(G32="",H32="",G33="",H33="",G34="",H34="",G35="",H35="",G36="",H36="",G37="",H37="",G38="",H38="",G39="",H39="")=TRUE,0,IF(AND(AL39&gt;G34,AL39&gt;H34)=TRUE,0,IF(AL39&gt;=H34,AL39,IF(H34&lt;=AM39,H34,AM39))-IF(AL39&gt;=G34,AL39,G34)+1))</f>
        <v>0</v>
      </c>
      <c r="AV34" s="257">
        <f>IF(OR(G32="",H32="",G33="",H33="",G34="",H34="",G35="",H35="",G36="",H36="",G37="",H37="",G38="",H38="",G39="",H39="",G40="",H40="")=TRUE,0,IF(AND(AL40&gt;G34,AL40&gt;H34)=TRUE,0,IF(AL40&gt;=H34,AL40,IF(H34&lt;=AM40,H34,AM40))-IF(AL40&gt;=G34,AL40,G34)+1))</f>
        <v>0</v>
      </c>
      <c r="AW34" s="257">
        <f>IF(OR(G32="",H32="",G33="",H33="",G34="",H34="",G35="",H35="",G36="",H36="",G37="",H37="",G38="",H38="",G39="",H39="",G40="",H40="",G41="",H41="")=TRUE,0,IF(AND(AL41&gt;G34,AL41&gt;H34)=TRUE,0,IF(AL41&gt;=H34,AL41,IF(H34&lt;=AM41,H34,AM41))-IF(AL41&gt;=G34,AL41,G34)+1))</f>
        <v>0</v>
      </c>
      <c r="AX34" s="251">
        <f>AP43</f>
        <v>0</v>
      </c>
      <c r="AY34" s="251" t="str">
        <f t="shared" si="8"/>
        <v>totalled  days </v>
      </c>
      <c r="AZ34" s="251"/>
      <c r="BA34" s="251"/>
      <c r="BB34" s="251"/>
      <c r="BC34" s="251"/>
      <c r="BD34" s="251"/>
      <c r="BE34" s="251"/>
      <c r="BF34" s="251"/>
      <c r="BG34" s="257"/>
      <c r="BH34" s="257"/>
    </row>
    <row r="35" spans="2:60" ht="30" customHeight="1">
      <c r="B35" s="42"/>
      <c r="C35" s="130">
        <f t="shared" si="0"/>
      </c>
      <c r="D35" s="238">
        <v>4</v>
      </c>
      <c r="E35" s="337" t="s">
        <v>245</v>
      </c>
      <c r="F35" s="337"/>
      <c r="G35" s="131"/>
      <c r="H35" s="132"/>
      <c r="I35" s="338">
        <f>IF(OR($AC$188="",R34&gt;0,LEFT($O$48,4)="None")=TRUE,"",IF(Q35&lt;&gt;"",Q35,IF(OR(AND($C$24=$AB$181,P35=1)=TRUE,AND(G35="",H35="")=TRUE)=TRUE,"",IF(AND(OR(G35&lt;&gt;"",H35&lt;&gt;"")=TRUE,$AC$188="")=TRUE,$AC$139,IF($C$24&lt;&gt;$AB$181,SUM(U35:V35),CONCATENATE($AC$164,AY35,AK35))))))</f>
      </c>
      <c r="J35" s="338"/>
      <c r="K35" s="338"/>
      <c r="L35" s="338"/>
      <c r="M35" s="338"/>
      <c r="N35" s="133">
        <f aca="true" t="shared" si="10" ref="N35:N41">IF(G35="","",IF(G35&lt;=H34,"Engagement overlaps",""))</f>
      </c>
      <c r="P35" s="271">
        <f t="shared" si="1"/>
        <v>0</v>
      </c>
      <c r="Q35" s="251">
        <f t="shared" si="2"/>
      </c>
      <c r="R35" s="251">
        <f>COUNTA($Q$32:Q35)-COUNTIF($Q$32:Q35,"")</f>
        <v>0</v>
      </c>
      <c r="S35" s="251">
        <f t="shared" si="9"/>
        <v>0</v>
      </c>
      <c r="T35" s="251">
        <f t="shared" si="3"/>
      </c>
      <c r="U35" s="251">
        <f t="shared" si="4"/>
      </c>
      <c r="V35" s="251">
        <f t="shared" si="5"/>
      </c>
      <c r="W35" s="265">
        <f t="shared" si="6"/>
      </c>
      <c r="X35" s="265">
        <f>IF(G35="","",IF(VLOOKUP($AC$188,$AC$192:$AI$288,$AI$190,FALSE)="",EDATE(G35-1,12),EDATE(G35-1,15)))</f>
      </c>
      <c r="Y35" s="256">
        <f>IF(OR(G32="",H32="",G33="",H33="",G34="",H34="",G35="",H35="")=TRUE,0,IF(G33&gt;X32,0,IF(AM32&lt;=H32,AM32,H32)-AL32+1)+IF(G33&gt;X32,0,IF(H33&lt;=X32,H33,X32)-IF(G33=X32,X32,G33)+1)+IF(G34&gt;X32,0,IF(H34&lt;=X32,H34,X32)-IF(G34=X32,X32,G34)+1)+IF(G35&gt;X32,0,IF(H35&lt;=X32,H35,X32)-IF(G35=X32,X32,G35)+1))</f>
        <v>0</v>
      </c>
      <c r="Z35" s="256">
        <f>IF(OR(G32="",H32="",G33="",H33="",G34="",H34="",G35="",H35="")=TRUE,0,IF(G33&gt;X33,0,IF(H33&lt;=X33,H33,X33)-IF(G33=X33,X33,G33)+1)+IF(G34&gt;X33,0,IF(H34&lt;=X33,H34,X33)-IF(G34=X33,X33,G34)+1)+IF(G35&gt;X33,0,IF(H35&lt;=X33,H35,X33)-IF(G35=X33,X33,G35)+1))</f>
        <v>0</v>
      </c>
      <c r="AA35" s="256">
        <f>IF(OR(G32="",H32="",G33="",H33="",G34="",H34="",G35="",H35="")=TRUE,0,IF(G34&gt;X34,0,IF(H34&lt;=X34,H34,X34)-IF(G34=X34,X34,G34)+1)+IF(G35&gt;X34,0,IF(H35&lt;=X34,H35,X34)-IF(G35=X34,X34,G35)+1))</f>
        <v>0</v>
      </c>
      <c r="AB35" s="256">
        <f>IF(OR(G32="",H32="",G33="",H33="",G34="",H34="",G35="",H35="")=TRUE,0,IF(G35&gt;X35,0,IF(H35&lt;=X35,H35,X35)-IF(G35=X35,X35,G35)+1))</f>
        <v>0</v>
      </c>
      <c r="AC35" s="256">
        <v>0</v>
      </c>
      <c r="AD35" s="256">
        <v>0</v>
      </c>
      <c r="AE35" s="256">
        <v>0</v>
      </c>
      <c r="AF35" s="256">
        <v>0</v>
      </c>
      <c r="AG35" s="256">
        <v>0</v>
      </c>
      <c r="AH35" s="256">
        <v>0</v>
      </c>
      <c r="AI35" s="256"/>
      <c r="AJ35" s="256">
        <v>4</v>
      </c>
      <c r="AK35" s="272">
        <f>IF(OR(AL35="",AM35="")=TRUE,"",CONCATENATE(IF(VLOOKUP($AC$188,$AC$192:$AI$288,$AI$190,FALSE)="","in the 12-month period from ","in the 15-month period from "),TEXT(AL35,"D MMM YYYY to "),TEXT(AM35,"D MMM YYYY"),"."))</f>
      </c>
      <c r="AL35" s="270">
        <f>IF(H35="","",IF(IF(VLOOKUP($AC$188,$AC$192:$AI$288,$AI$190,FALSE)="",EDATE(H35+1,-12),EDATE(H35+1,-15))&lt;=AL34,AL34,IF(VLOOKUP($AC$188,$AC$192:$AI$288,$AI$190,FALSE)="",EDATE(H35+1,-12),EDATE(H35+1,-15))))</f>
      </c>
      <c r="AM35" s="270">
        <f t="shared" si="7"/>
      </c>
      <c r="AN35" s="257">
        <v>0</v>
      </c>
      <c r="AO35" s="257">
        <v>0</v>
      </c>
      <c r="AP35" s="257">
        <v>0</v>
      </c>
      <c r="AQ35" s="257">
        <f>IF(OR(G32="",H32="",G33="",H33="",G34="",H34="",G35="",H35="")=TRUE,0,AM35-IF(AL35&gt;=G35,AL34,G35)+1)</f>
        <v>0</v>
      </c>
      <c r="AR35" s="258">
        <f>IF(OR(G32="",H32="",G33="",H33="",G34="",H34="",G35="",H35="",G36="",H36="")=TRUE,0,IF(AND(AL36&gt;G35,AL36&gt;H35)=TRUE,0,IF(AL36&gt;=H35,AL36,IF(H35&lt;=AM36,H35,AM36))-IF(AL36&gt;=G35,AL36,G35)+1))</f>
        <v>0</v>
      </c>
      <c r="AS35" s="257">
        <f>IF(OR(G32="",H32="",G33="",H33="",G34="",H34="",G35="",H35="",G36="",H36="",G37="",H37="")=TRUE,0,IF(AND(AL37&gt;G35,AL37&gt;H35)=TRUE,0,IF(AL37&gt;=H35,AL37,IF(H35&lt;=AM37,H35,AM37))-IF(AL37&gt;=G35,AL37,G35)+1))</f>
        <v>0</v>
      </c>
      <c r="AT35" s="257">
        <f>IF(OR(G32="",H32="",G33="",H33="",G34="",H34="",G35="",H35="",G36="",H36="",G37="",H37="",G38="",H38="")=TRUE,0,IF(AND(AL38&gt;G35,AL38&gt;H35)=TRUE,0,IF(AL38&gt;=H35,AL38,IF(H35&lt;=AM38,H35,AM38))-IF(AL38&gt;=G35,AL38,G35)+1))</f>
        <v>0</v>
      </c>
      <c r="AU35" s="257">
        <f>IF(OR(G32="",H32="",G33="",H33="",G34="",H34="",G35="",H35="",G36="",H36="",G37="",H37="",G38="",H38="",G39="",H39="")=TRUE,0,IF(AND(AL39&gt;G35,AL39&gt;H35)=TRUE,0,IF(AL39&gt;=H35,AL39,IF(H35&lt;=AM39,H35,AM39))-IF(AL39&gt;=G35,AL39,G35)+1))</f>
        <v>0</v>
      </c>
      <c r="AV35" s="257">
        <f>IF(OR(G32="",H32="",G33="",H33="",G34="",H34="",G35="",H35="",G36="",H36="",G37="",H37="",G38="",H38="",G39="",H39="",G40="",H40="")=TRUE,0,IF(AND(AL40&gt;G35,AL40&gt;H35)=TRUE,0,IF(AL40&gt;=H35,AL40,IF(H35&lt;=AM40,H35,AM40))-IF(AL40&gt;=G35,AL40,G35)+1))</f>
        <v>0</v>
      </c>
      <c r="AW35" s="257">
        <f>IF(OR(G32="",H32="",G33="",H33="",G34="",H34="",G35="",H35="",G36="",H36="",G37="",H37="",G38="",H38="",G39="",H39="",G40="",H40="",G41="",H41="")=TRUE,0,IF(AND(AL41&gt;G35,AL41&gt;H35)=TRUE,0,IF(AL41&gt;=H35,AL41,IF(H35&lt;=AM41,H35,AM41))-IF(AL41&gt;=G35,AL41,G35)+1))</f>
        <v>0</v>
      </c>
      <c r="AX35" s="251">
        <f>AQ43</f>
        <v>0</v>
      </c>
      <c r="AY35" s="251" t="str">
        <f t="shared" si="8"/>
        <v>totalled  days </v>
      </c>
      <c r="AZ35" s="251"/>
      <c r="BA35" s="251"/>
      <c r="BB35" s="251"/>
      <c r="BC35" s="251"/>
      <c r="BD35" s="251"/>
      <c r="BE35" s="251"/>
      <c r="BF35" s="251"/>
      <c r="BG35" s="257"/>
      <c r="BH35" s="257"/>
    </row>
    <row r="36" spans="2:60" ht="30" customHeight="1">
      <c r="B36" s="42"/>
      <c r="C36" s="130">
        <f t="shared" si="0"/>
      </c>
      <c r="D36" s="238">
        <v>5</v>
      </c>
      <c r="E36" s="337" t="s">
        <v>246</v>
      </c>
      <c r="F36" s="337"/>
      <c r="G36" s="131"/>
      <c r="H36" s="132"/>
      <c r="I36" s="338">
        <f>IF(OR($AC$188="",R35&gt;0,LEFT($O$48,4)="None")=TRUE,"",IF(Q36&lt;&gt;"",Q36,IF(OR(AND($C$24=$AB$181,P36=1)=TRUE,AND(G36="",H36="")=TRUE)=TRUE,"",IF(AND(OR(G36&lt;&gt;"",H36&lt;&gt;"")=TRUE,$AC$188="")=TRUE,$AC$139,IF($C$24&lt;&gt;$AB$181,SUM(U36:V36),CONCATENATE($AC$164,AY36,AK36))))))</f>
      </c>
      <c r="J36" s="338"/>
      <c r="K36" s="338"/>
      <c r="L36" s="338"/>
      <c r="M36" s="338"/>
      <c r="N36" s="133">
        <f t="shared" si="10"/>
      </c>
      <c r="P36" s="271">
        <f t="shared" si="1"/>
        <v>0</v>
      </c>
      <c r="Q36" s="251">
        <f t="shared" si="2"/>
      </c>
      <c r="R36" s="251">
        <f>COUNTA($Q$32:Q36)-COUNTIF($Q$32:Q36,"")</f>
        <v>0</v>
      </c>
      <c r="S36" s="251">
        <f t="shared" si="9"/>
        <v>0</v>
      </c>
      <c r="T36" s="251">
        <f t="shared" si="3"/>
      </c>
      <c r="U36" s="251">
        <f t="shared" si="4"/>
      </c>
      <c r="V36" s="251">
        <f t="shared" si="5"/>
      </c>
      <c r="W36" s="265">
        <f t="shared" si="6"/>
      </c>
      <c r="X36" s="265">
        <f>IF(G36="","",IF(VLOOKUP($AC$188,$AC$192:$AI$288,$AI$190,FALSE)="",EDATE(G36-1,12),EDATE(G36-1,15)))</f>
      </c>
      <c r="Y36" s="256">
        <f>IF(OR(G32="",H32="",G33="",H33="",G34="",H34="",G35="",H35="",G36="",H36="")=TRUE,0,IF(G33&gt;X32,0,IF(AM32&lt;=H32,AM32,H32)-AL32+1)+IF(G33&gt;X32,0,IF(H33&lt;=X32,H33,X32)-IF(G33=X32,X32,G33)+1)+IF(G34&gt;X32,0,IF(H34&lt;=X32,H34,X32)-IF(G34=X32,X32,G34)+1)+IF(G35&gt;X32,0,IF(H35&lt;=X32,H35,X32)-IF(G35=X32,X32,G35)+1)+IF(G36&gt;X32,0,IF(H36&lt;=X32,H36,X32)-IF(G36=X32,X32,G36)+1))</f>
        <v>0</v>
      </c>
      <c r="Z36" s="256">
        <f>IF(OR(G32="",H32="",G33="",H33="",G34="",H34="",G35="",H35="",G36="",H36="")=TRUE,0,IF(G33&gt;X33,0,IF(H33&lt;=X33,H33,X33)-IF(G33=X33,X33,G33)+1)+IF(G34&gt;X33,0,IF(H34&lt;=X33,H34,X33)-IF(G34=X33,X33,G34)+1)+IF(G35&gt;X33,0,IF(H35&lt;=X33,H35,X33)-IF(G35=X33,X33,G35)+1)+IF(G36&gt;X33,0,IF(H36&lt;=X33,H36,X33)-IF(G36=X33,X33,G36)+1))</f>
        <v>0</v>
      </c>
      <c r="AA36" s="256">
        <f>IF(OR(G32="",H32="",G33="",H33="",G34="",H34="",G35="",H35="",G36="",H36="")=TRUE,0,IF(G34&gt;X34,0,IF(H34&lt;=X34,H34,X34)-IF(G34=X34,X34,G34)+1)+IF(G35&gt;X34,0,IF(H35&lt;=X34,H35,X34)-IF(G35=X34,X34,G35)+1)+IF(G36&gt;X34,0,IF(H36&lt;=X34,H36,X34)-IF(G36=X34,X34,G36)+1))</f>
        <v>0</v>
      </c>
      <c r="AB36" s="256">
        <f>IF(OR(G32="",H32="",G33="",H33="",G34="",H34="",G35="",H35="",G36="",H36="")=TRUE,0,IF(G35&gt;X35,0,IF(H35&lt;=X35,H35,X35)-IF(G35=X35,X35,G35)+1)+IF(G36&gt;X35,0,IF(H36&lt;=X35,H36,X35)-IF(G36=X35,X35,G36)+1))</f>
        <v>0</v>
      </c>
      <c r="AC36" s="256">
        <f>IF(OR(G32="",H32="",G33="",H33="",G34="",H34="",G35="",H35="",G36="",H36="")=TRUE,0,IF(G36&gt;X36,0,IF(H36&lt;=X36,H36,X36)-IF(G36=X36,X36,G36)+1))</f>
        <v>0</v>
      </c>
      <c r="AD36" s="256">
        <v>0</v>
      </c>
      <c r="AE36" s="256">
        <v>0</v>
      </c>
      <c r="AF36" s="256">
        <v>0</v>
      </c>
      <c r="AG36" s="256">
        <v>0</v>
      </c>
      <c r="AH36" s="256">
        <v>0</v>
      </c>
      <c r="AI36" s="256"/>
      <c r="AJ36" s="256">
        <v>5</v>
      </c>
      <c r="AK36" s="272">
        <f>IF(OR(AL36="",AM36="")=TRUE,"",CONCATENATE(IF(VLOOKUP($AC$188,$AC$192:$AI$288,$AI$190,FALSE)="","in the 12-month period from ","in the 15-month period from "),TEXT(AL36,"D MMM YYYY to "),TEXT(AM36,"D MMM YYYY"),"."))</f>
      </c>
      <c r="AL36" s="270">
        <f>IF(H36="","",IF(IF(VLOOKUP($AC$188,$AC$192:$AI$288,$AI$190,FALSE)="",EDATE(H36+1,-12),EDATE(H36+1,-15))&lt;=AL35,AL35,IF(VLOOKUP($AC$188,$AC$192:$AI$288,$AI$190,FALSE)="",EDATE(H36+1,-12),EDATE(H36+1,-15))))</f>
      </c>
      <c r="AM36" s="265">
        <f t="shared" si="7"/>
      </c>
      <c r="AN36" s="257">
        <v>0</v>
      </c>
      <c r="AO36" s="257">
        <v>0</v>
      </c>
      <c r="AP36" s="257">
        <v>0</v>
      </c>
      <c r="AQ36" s="257">
        <v>0</v>
      </c>
      <c r="AR36" s="258">
        <f>IF(OR(G32="",H32="",G33="",H33="",G34="",H34="",G35="",H35="",G36="",H36="")=TRUE,0,AM36-IF(AL36&gt;=G36,AL35,G36)+1)</f>
        <v>0</v>
      </c>
      <c r="AS36" s="257">
        <f>IF(OR(G32="",H32="",G33="",H33="",G34="",H34="",G35="",H35="",G36="",H36="",G37="",H37="")=TRUE,0,IF(AND(AL37&gt;G36,AL37&gt;H36)=TRUE,0,IF(AL37&gt;=H36,AL37,IF(H36&lt;=AM37,H36,AM37))-IF(AL37&gt;=G36,AL37,G36)+1))</f>
        <v>0</v>
      </c>
      <c r="AT36" s="257">
        <f>IF(OR(G32="",H32="",G33="",H33="",G34="",H34="",G35="",H35="",G36="",H36="",G37="",H37="",G38="",H38="")=TRUE,0,IF(AND(AL38&gt;G36,AL38&gt;H36)=TRUE,0,IF(AL38&gt;=H36,AL38,IF(H36&lt;=AM38,H36,AM38))-IF(AL38&gt;=G36,AL38,G36)+1))</f>
        <v>0</v>
      </c>
      <c r="AU36" s="257">
        <f>IF(OR(G32="",H32="",G33="",H33="",G34="",H34="",G35="",H35="",G36="",H36="",G37="",H37="",G38="",H38="",G39="",H39="")=TRUE,0,IF(AND(AL39&gt;G36,AL39&gt;H36)=TRUE,0,IF(AL39&gt;=H36,AL39,IF(H36&lt;=AM39,H36,AM39))-IF(AL39&gt;=G36,AL39,G36)+1))</f>
        <v>0</v>
      </c>
      <c r="AV36" s="257">
        <f>IF(OR(G32="",H32="",G33="",H33="",G34="",H34="",G35="",H35="",G36="",H36="",G37="",H37="",G38="",H38="",G39="",H39="",G40="",H40="")=TRUE,0,IF(AND(AL40&gt;G36,AL40&gt;H36)=TRUE,0,IF(AL40&gt;=H36,AL40,IF(H36&lt;=AM40,H36,AM40))-IF(AL40&gt;=G36,AL40,G36)+1))</f>
        <v>0</v>
      </c>
      <c r="AW36" s="257">
        <f>IF(OR(G32="",H32="",G33="",H33="",G34="",H34="",G35="",H35="",G36="",H36="",G37="",H37="",G38="",H38="",G39="",H39="",G40="",H40="",G41="",H41="")=TRUE,0,IF(AND(AL41&gt;G36,AL41&gt;H36)=TRUE,0,IF(AL41&gt;=H36,AL41,IF(H36&lt;=AM41,H36,AM41))-IF(AL41&gt;=G36,AL41,G36)+1))</f>
        <v>0</v>
      </c>
      <c r="AX36" s="251">
        <f>AR43</f>
        <v>0</v>
      </c>
      <c r="AY36" s="251" t="str">
        <f t="shared" si="8"/>
        <v>totalled  days </v>
      </c>
      <c r="AZ36" s="251"/>
      <c r="BA36" s="251"/>
      <c r="BB36" s="251"/>
      <c r="BC36" s="251"/>
      <c r="BD36" s="251"/>
      <c r="BE36" s="251"/>
      <c r="BF36" s="251"/>
      <c r="BG36" s="257"/>
      <c r="BH36" s="257"/>
    </row>
    <row r="37" spans="2:60" ht="30" customHeight="1" hidden="1">
      <c r="B37" s="59" t="s">
        <v>8</v>
      </c>
      <c r="C37" s="130">
        <f t="shared" si="0"/>
      </c>
      <c r="D37" s="134">
        <v>6</v>
      </c>
      <c r="E37" s="347" t="s">
        <v>25</v>
      </c>
      <c r="F37" s="348"/>
      <c r="G37" s="135"/>
      <c r="H37" s="136"/>
      <c r="I37" s="349">
        <f>IF(OR($AC$188="",R36&gt;0)=TRUE,"",IF(Q37&lt;&gt;"",Q37,IF(OR(AND($C$24=$AB$181,P37=1)=TRUE,AND(G37="",H37="")=TRUE)=TRUE,"",IF(AND(OR(G37&lt;&gt;"",H37&lt;&gt;"")=TRUE,$AC$188="")=TRUE,$AC$139,IF($C$24&lt;&gt;$AB$181,SUM(U37:V37),CONCATENATE($AC$164,AY37,AK37))))))</f>
      </c>
      <c r="J37" s="349"/>
      <c r="K37" s="349"/>
      <c r="L37" s="349"/>
      <c r="M37" s="349"/>
      <c r="N37" s="133">
        <f t="shared" si="10"/>
      </c>
      <c r="P37" s="271">
        <f t="shared" si="1"/>
        <v>0</v>
      </c>
      <c r="Q37" s="251">
        <f t="shared" si="2"/>
      </c>
      <c r="R37" s="251">
        <f>COUNTA($Q$32:Q37)-COUNTIF($Q$32:Q37,"")</f>
        <v>0</v>
      </c>
      <c r="S37" s="251">
        <f t="shared" si="9"/>
        <v>0</v>
      </c>
      <c r="T37" s="251">
        <f t="shared" si="3"/>
      </c>
      <c r="U37" s="251">
        <f t="shared" si="4"/>
      </c>
      <c r="V37" s="251">
        <f t="shared" si="5"/>
      </c>
      <c r="W37" s="265">
        <f t="shared" si="6"/>
      </c>
      <c r="X37" s="265">
        <f>IF(G37="","",IF(VLOOKUP($AC$188,$AC$192:$AI$288,$AI$190,FALSE)="",DATE(YEAR(G37)+1,MONTH(G37),DAY(G37)-1),DATE(YEAR(G37)+1,MONTH(G37)+3,DAY(G37)-1)))</f>
      </c>
      <c r="Y37" s="256">
        <f>IF(OR(G32="",H32="",G33="",H33="",G34="",H34="",G35="",H35="",G36="",H36="",G37="",H37="")=TRUE,0,IF(G33&gt;X32,0,IF(AM32&lt;=H32,AM32,H32)-AL32+1)+IF(G33&gt;X32,0,IF(H33&lt;=X32,H33,X32)-IF(G33=X32,X32,G33)+1)+IF(G34&gt;X32,0,IF(H34&lt;=X32,H34,X32)-IF(G34=X32,X32,G34)+1)+IF(G35&gt;X32,0,IF(H35&lt;=X32,H35,X32)-IF(G35=X32,X32,G35)+1)+IF(G36&gt;X32,0,IF(H36&lt;=X32,H36,X32)-IF(G36=X32,X32,G36)+1)+IF(G37&gt;X32,0,IF(H37&lt;=X32,H37,X32)-IF(G37=X32,X32,G37)+1))</f>
        <v>0</v>
      </c>
      <c r="Z37" s="256">
        <f>IF(OR(G32="",H32="",G33="",H33="",G34="",H34="",G35="",H35="",G36="",H36="",G37="",H37="")=TRUE,0,IF(G33&gt;X33,0,IF(H33&lt;=X33,H33,X33)-IF(G33=X33,X33,G33)+1)+IF(G34&gt;X33,0,IF(H34&lt;=X33,H34,X33)-IF(G34=X33,X33,G34)+1)+IF(G35&gt;X33,0,IF(H35&lt;=X33,H35,X33)-IF(G35=X33,X33,G35)+1)+IF(G36&gt;X33,0,IF(H36&lt;=X33,H36,X33)-IF(G36=X33,X33,G36)+1)+IF(G37&gt;X33,0,IF(H37&lt;=X33,H37,X33)-IF(G37=X33,X33,G37)+1))</f>
        <v>0</v>
      </c>
      <c r="AA37" s="256">
        <f>IF(OR(G32="",H32="",G33="",H33="",G34="",H34="",G35="",H35="",G36="",H36="",G37="",H37="")=TRUE,0,IF(G34&gt;X34,0,IF(H34&lt;=X34,H34,X34)-IF(G34=X34,X34,G34)+1)+IF(G35&gt;X34,0,IF(H35&lt;=X34,H35,X34)-IF(G35=X34,X34,G35)+1)+IF(G36&gt;X34,0,IF(H36&lt;=X34,H36,X34)-IF(G36=X34,X34,G36)+1)+IF(G37&gt;X34,0,IF(H37&lt;=X34,H37,X34)-IF(G37=X34,X34,G37)+1))</f>
        <v>0</v>
      </c>
      <c r="AB37" s="256">
        <f>IF(OR(G32="",H32="",G33="",H33="",G34="",H34="",G35="",H35="",G36="",H36="",G37="",H37="")=TRUE,0,IF(G35&gt;X35,0,IF(H35&lt;=X35,H35,X35)-IF(G35=X35,X35,G35)+1)+IF(G36&gt;X35,0,IF(H36&lt;=X35,H36,X35)-IF(G36=X35,X35,G36)+1)+IF(G37&gt;X35,0,IF(H37&lt;=X35,H37,X35)-IF(G37=X35,X35,G37)+1))</f>
        <v>0</v>
      </c>
      <c r="AC37" s="256">
        <f>IF(OR(G32="",H32="",G33="",H33="",G34="",H34="",G35="",H35="",G36="",H36="",G37="",H37="")=TRUE,0,IF(G36&gt;X36,0,IF(H36&lt;=X36,H36,X36)-IF(G36=X36,X36,G36)+1)+IF(G37&gt;X36,0,IF(H37&lt;=X36,H37,X36)-IF(G37=X36,X36,G37)+1))</f>
        <v>0</v>
      </c>
      <c r="AD37" s="256">
        <f>IF(OR(G32="",H32="",G33="",H33="",G34="",H34="",G35="",H35="",G36="",H36="",G37="",H37="")=TRUE,0,IF(G37&gt;X36,0,IF(H37&lt;=X37,H37,X37)-IF(G37=X37,X37,G37)+1))</f>
        <v>0</v>
      </c>
      <c r="AE37" s="256">
        <v>0</v>
      </c>
      <c r="AF37" s="256">
        <v>0</v>
      </c>
      <c r="AG37" s="256">
        <v>0</v>
      </c>
      <c r="AH37" s="256">
        <v>0</v>
      </c>
      <c r="AI37" s="256"/>
      <c r="AJ37" s="256">
        <v>6</v>
      </c>
      <c r="AK37" s="256">
        <f>IF(OR(AL37="",AM37="")=TRUE,"",CONCATENATE("in the",CHAR(10),IF(VLOOKUP($AC$188,$AC$192:$AI$288,$AI$190,FALSE)="","12-month period from ","15-month period from "),TEXT(AL37,"DD-MMM-YYYY to "),TEXT(AM37,"DD-MMM-YYYY"),"."))</f>
      </c>
      <c r="AL37" s="270">
        <f>IF(H37="","",IF(IF(VLOOKUP($AC$188,$AC$192:$AI$288,$AI$190,FALSE)="",DATE(YEAR(H37)-1,MONTH(H37),DAY(H37)+1),DATE(YEAR(H37)-1,MONTH(H37)-3,DAY(H37)+1))&lt;=AL36,AL36,IF(VLOOKUP($AC$188,$AC$192:$AI$288,$AI$190,FALSE)="",DATE(YEAR(H37)-1,MONTH(H37),DAY(H37)+1),DATE(YEAR(H37)-1,MONTH(H37)-3,DAY(H37)+1))))</f>
      </c>
      <c r="AM37" s="265">
        <f t="shared" si="7"/>
      </c>
      <c r="AN37" s="257">
        <v>0</v>
      </c>
      <c r="AO37" s="257">
        <v>0</v>
      </c>
      <c r="AP37" s="257">
        <v>0</v>
      </c>
      <c r="AQ37" s="257">
        <v>0</v>
      </c>
      <c r="AR37" s="258">
        <v>0</v>
      </c>
      <c r="AS37" s="257">
        <f>IF(OR(G32="",H32="",G33="",H33="",G34="",H34="",G35="",H35="",G36="",H36="",G37="",H37="")=TRUE,0,AM37-IF(AL37&gt;=G37,AL37,G37)+1)</f>
        <v>0</v>
      </c>
      <c r="AT37" s="257">
        <f>IF(OR(G32="",H32="",G33="",H33="",G34="",H34="",G35="",H35="",G36="",H36="",G37="",H37="",G38="",H38="")=TRUE,0,IF(AND(AL38&gt;G37,AL38&gt;H37)=TRUE,0,IF(AL38&gt;=H37,AL38,IF(H37&lt;=AM38,H37,AM38))-IF(AL38&gt;=G37,AL38,G37)+1))</f>
        <v>0</v>
      </c>
      <c r="AU37" s="257">
        <f>IF(OR(G32="",H32="",G33="",H33="",G34="",H34="",G35="",H35="",G36="",H36="",G37="",H37="",G38="",H38="",G39="",H39="")=TRUE,0,IF(AND(AL39&gt;G37,AL39&gt;H37)=TRUE,0,IF(AL39&gt;=H37,AL39,IF(H37&lt;=AM39,H37,AM39))-IF(AL39&gt;=G37,AL39,G37)+1))</f>
        <v>0</v>
      </c>
      <c r="AV37" s="257">
        <f>IF(OR(G32="",H32="",G33="",H33="",G34="",H34="",G35="",H35="",G36="",H36="",G37="",H37="",G38="",H38="",G39="",H39="",G40="",H40="")=TRUE,0,IF(AND(AL40&gt;G37,AL40&gt;H37)=TRUE,0,IF(AL40&gt;=H37,AL40,IF(H37&lt;=AM40,H37,AM40))-IF(AL40&gt;=G37,AL40,G37)+1))</f>
        <v>0</v>
      </c>
      <c r="AW37" s="257">
        <f>IF(OR(G32="",H32="",G33="",H33="",G34="",H34="",G35="",H35="",G36="",H36="",G37="",H37="",G38="",H38="",G39="",H39="",G40="",H40="",G41="",H41="")=TRUE,0,IF(AND(AL41&gt;G37,AL41&gt;H37)=TRUE,0,IF(AL41&gt;=H37,AL41,IF(H37&lt;=AM41,H37,AM41))-IF(AL41&gt;=G37,AL41,G37)+1))</f>
        <v>0</v>
      </c>
      <c r="AX37" s="251">
        <f>AS43</f>
        <v>0</v>
      </c>
      <c r="AY37" s="251" t="str">
        <f t="shared" si="8"/>
        <v>totalled  days </v>
      </c>
      <c r="AZ37" s="251"/>
      <c r="BA37" s="251"/>
      <c r="BB37" s="251"/>
      <c r="BC37" s="251"/>
      <c r="BD37" s="251"/>
      <c r="BE37" s="251"/>
      <c r="BF37" s="251"/>
      <c r="BG37" s="257"/>
      <c r="BH37" s="257"/>
    </row>
    <row r="38" spans="2:60" ht="30" customHeight="1" hidden="1">
      <c r="B38" s="59" t="s">
        <v>8</v>
      </c>
      <c r="C38" s="130">
        <f t="shared" si="0"/>
      </c>
      <c r="D38" s="134">
        <v>7</v>
      </c>
      <c r="E38" s="350" t="s">
        <v>26</v>
      </c>
      <c r="F38" s="351"/>
      <c r="G38" s="137"/>
      <c r="H38" s="138"/>
      <c r="I38" s="352">
        <f>IF(OR($AC$188="",R37&gt;0)=TRUE,"",IF(Q38&lt;&gt;"",Q38,IF(OR(AND($C$24=$AB$181,P38=1)=TRUE,AND(G38="",H38="")=TRUE)=TRUE,"",IF(AND(OR(G38&lt;&gt;"",H38&lt;&gt;"")=TRUE,$AC$188="")=TRUE,$AC$139,IF($C$24&lt;&gt;$AB$181,SUM(U38:V38),CONCATENATE($AC$164,AY38,AK38))))))</f>
      </c>
      <c r="J38" s="352"/>
      <c r="K38" s="352"/>
      <c r="L38" s="352"/>
      <c r="M38" s="352"/>
      <c r="N38" s="133">
        <f t="shared" si="10"/>
      </c>
      <c r="P38" s="271">
        <f t="shared" si="1"/>
        <v>0</v>
      </c>
      <c r="Q38" s="251">
        <f t="shared" si="2"/>
      </c>
      <c r="R38" s="251">
        <f>COUNTA($Q$32:Q38)-COUNTIF($Q$32:Q38,"")</f>
        <v>0</v>
      </c>
      <c r="S38" s="251">
        <f t="shared" si="9"/>
        <v>0</v>
      </c>
      <c r="T38" s="251">
        <f t="shared" si="3"/>
      </c>
      <c r="U38" s="251">
        <f t="shared" si="4"/>
      </c>
      <c r="V38" s="251">
        <f t="shared" si="5"/>
      </c>
      <c r="W38" s="265">
        <f t="shared" si="6"/>
      </c>
      <c r="X38" s="265">
        <f>IF(G38="","",IF(VLOOKUP($AC$188,$AC$192:$AI$288,$AI$190,FALSE)="",DATE(YEAR(G38)+1,MONTH(G38),DAY(G38)-1),DATE(YEAR(G38)+1,MONTH(G38)+3,DAY(G38)-1)))</f>
      </c>
      <c r="Y38" s="256">
        <f>IF(OR(G32="",H32="",G33="",H33="",G34="",H34="",G35="",H35="",G36="",H36="",G37="",H37="",G38="",H38="")=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f>
        <v>0</v>
      </c>
      <c r="Z38" s="256">
        <f>IF(OR(G32="",H32="",G33="",H33="",G34="",H34="",G35="",H35="",G36="",H36="",G37="",H37="",G38="",H38="")=TRUE,0,IF(G33&gt;X33,0,IF(H33&lt;=X33,H33,X33)-IF(G33=X33,X33,G33)+1)+IF(G34&gt;X33,0,IF(H34&lt;=X33,H34,X33)-IF(G34=X33,X33,G34)+1)+IF(G35&gt;X33,0,IF(H35&lt;=X33,H35,X33)-IF(G35=X33,X33,G35)+1)+IF(G36&gt;X33,0,IF(H36&lt;=X33,H36,X33)-IF(G36=X33,X33,G36)+1)+IF(G37&gt;X33,0,IF(H37&lt;=X33,H37,X33)-IF(G37=X33,X33,G37)+1)+IF(G38&gt;X33,0,IF(H38&lt;=X33,H38,X33)-IF(G38=X33,X33,G38)+1))</f>
        <v>0</v>
      </c>
      <c r="AA38" s="256">
        <f>IF(OR(G32="",H32="",G33="",H33="",G34="",H34="",G35="",H35="",G36="",H36="",G37="",H37="",G38="",H38="")=TRUE,0,IF(G34&gt;X34,0,IF(H34&lt;=X34,H34,X34)-IF(G34=X34,X34,G34)+1)+IF(G35&gt;X34,0,IF(H35&lt;=X34,H35,X34)-IF(G35=X34,X34,G35)+1)+IF(G36&gt;X34,0,IF(H36&lt;=X34,H36,X34)-IF(G36=X34,X34,G36)+1)+IF(G37&gt;X34,0,IF(H37&lt;=X34,H37,X34)-IF(G37=X34,X34,G37)+1)+IF(G38&gt;X34,0,IF(H38&lt;=X34,H38,X34)-IF(G38=X34,X34,G38)+1))</f>
        <v>0</v>
      </c>
      <c r="AB38" s="256">
        <f>IF(OR(G32="",H32="",G33="",H33="",G34="",H34="",G35="",H35="",G36="",H36="",G37="",H37="",G38="",H38="")=TRUE,0,IF(G35&gt;X35,0,IF(H35&lt;=X35,H35,X35)-IF(G35=X35,X35,G35)+1)+IF(G36&gt;X35,0,IF(H36&lt;=X35,H36,X35)-IF(G36=X35,X35,G36)+1)+IF(G37&gt;X35,0,IF(H37&lt;=X35,H37,X35)-IF(G37=X35,X35,G37)+1)+IF(G38&gt;X35,0,IF(H38&lt;=X35,H38,X35)-IF(G38=X35,X35,G38)+1))</f>
        <v>0</v>
      </c>
      <c r="AC38" s="256">
        <f>IF(OR(G32="",H32="",G33="",H33="",G34="",H34="",G35="",H35="",G36="",H36="",G37="",H37="",G38="",H38="")=TRUE,0,IF(G36&gt;X36,0,IF(H36&lt;=X36,H36,X36)-IF(G36=X36,X36,G36)+1)+IF(G37&gt;X36,0,IF(H37&lt;=X36,H37,X36)-IF(G37=X36,X36,G37)+1)+IF(G38&gt;X36,0,IF(H38&lt;=X36,H38,X36)-IF(G38=X36,X36,G38)+1))</f>
        <v>0</v>
      </c>
      <c r="AD38" s="256">
        <f>IF(OR(G32="",H32="",G33="",H33="",G34="",H34="",G35="",H35="",G36="",H36="",G37="",H37="",G38="",H38="")=TRUE,0,IF(G37&gt;X37,0,IF(H37&lt;=X37,H37,X37)-IF(G37=X37,X37,G37)+1)+IF(G38&gt;X37,0,IF(H38&lt;=X37,H38,X37)-IF(G38=X37,X37,G38)+1))</f>
        <v>0</v>
      </c>
      <c r="AE38" s="256">
        <f>IF(OR(G32="",H32="",G33="",H33="",G34="",H34="",G35="",H35="",G36="",H36="",G37="",H37="",G38="",H38="")=TRUE,0,IF(G38&gt;X38,0,IF(H38&lt;=X38,H38,X38)-IF(G38=X38,X38,G38)+1))</f>
        <v>0</v>
      </c>
      <c r="AF38" s="256">
        <v>0</v>
      </c>
      <c r="AG38" s="256">
        <v>0</v>
      </c>
      <c r="AH38" s="256">
        <v>0</v>
      </c>
      <c r="AI38" s="256"/>
      <c r="AJ38" s="256">
        <v>7</v>
      </c>
      <c r="AK38" s="256">
        <f>IF(OR(AL38="",AM38="")=TRUE,"",CONCATENATE("in the",CHAR(10),IF(VLOOKUP($AC$188,$AC$192:$AI$288,$AI$190,FALSE)="","12-month period from ","15-month period from "),TEXT(AL38,"DD-MMM-YYYY to "),TEXT(AM38,"DD-MMM-YYYY"),"."))</f>
      </c>
      <c r="AL38" s="270">
        <f>IF(H38="","",IF(IF(VLOOKUP($AC$188,$AC$192:$AI$288,$AI$190,FALSE)="",DATE(YEAR(H38)-1,MONTH(H38),DAY(H38)+1),DATE(YEAR(H38)-1,MONTH(H38)-3,DAY(H38)+1))&lt;=AL37,AL37,IF(VLOOKUP($AC$188,$AC$192:$AI$288,$AI$190,FALSE)="",DATE(YEAR(H38)-1,MONTH(H38),DAY(H38)+1),DATE(YEAR(H38)-1,MONTH(H38)-3,DAY(H38)+1))))</f>
      </c>
      <c r="AM38" s="265">
        <f t="shared" si="7"/>
      </c>
      <c r="AN38" s="257">
        <v>0</v>
      </c>
      <c r="AO38" s="257">
        <v>0</v>
      </c>
      <c r="AP38" s="257">
        <v>0</v>
      </c>
      <c r="AQ38" s="257">
        <v>0</v>
      </c>
      <c r="AR38" s="258">
        <v>0</v>
      </c>
      <c r="AS38" s="257">
        <v>0</v>
      </c>
      <c r="AT38" s="257">
        <f>IF(OR(G32="",H32="",G33="",H33="",G34="",H34="",G35="",H35="",G36="",H36="",G37="",H37="",G38="",H38="")=TRUE,0,AM38-IF(AL38&gt;=G38,AL38,G38)+1)</f>
        <v>0</v>
      </c>
      <c r="AU38" s="257">
        <f>IF(OR(G32="",H32="",G33="",H33="",G34="",H34="",G35="",H35="",G36="",H36="",G37="",H37="",G38="",H38="",G39="",H39="")=TRUE,0,IF(AND(AL39&gt;G38,AL39&gt;H38)=TRUE,0,IF(AL39&gt;=H38,AL39,IF(H38&lt;=AM39,H38,AM39))-IF(AL39&gt;=G38,AL39,G38)+1))</f>
        <v>0</v>
      </c>
      <c r="AV38" s="257">
        <f>IF(OR(G32="",H32="",G33="",H33="",G34="",H34="",G35="",H35="",G36="",H36="",G37="",H37="",G38="",H38="",G39="",H39="",G40="",H40="")=TRUE,0,IF(AND(AL40&gt;G38,AL40&gt;H38)=TRUE,0,IF(AL40&gt;=H38,AL40,IF(H38&lt;=AM40,H38,AM40))-IF(AL40&gt;=G38,AL40,G38)+1))</f>
        <v>0</v>
      </c>
      <c r="AW38" s="257">
        <f>IF(OR(G32="",H32="",G33="",H33="",G34="",H34="",G35="",H35="",G36="",H36="",G37="",H37="",G38="",H38="",G39="",H39="",G40="",H40="",G41="",H41="")=TRUE,0,IF(AND(AL41&gt;G38,AL41&gt;H38)=TRUE,0,IF(AL41&gt;=H38,AL41,IF(H38&lt;=AM41,H38,AM41))-IF(AL41&gt;=G38,AL41,G38)+1))</f>
        <v>0</v>
      </c>
      <c r="AX38" s="251">
        <f>AT43</f>
        <v>0</v>
      </c>
      <c r="AY38" s="251" t="str">
        <f t="shared" si="8"/>
        <v>totalled  days </v>
      </c>
      <c r="AZ38" s="251"/>
      <c r="BA38" s="251"/>
      <c r="BB38" s="251"/>
      <c r="BC38" s="251"/>
      <c r="BD38" s="251"/>
      <c r="BE38" s="251"/>
      <c r="BF38" s="251"/>
      <c r="BG38" s="257"/>
      <c r="BH38" s="257"/>
    </row>
    <row r="39" spans="2:60" ht="30" customHeight="1" hidden="1">
      <c r="B39" s="59" t="s">
        <v>8</v>
      </c>
      <c r="C39" s="130">
        <f t="shared" si="0"/>
      </c>
      <c r="D39" s="134">
        <v>8</v>
      </c>
      <c r="E39" s="350" t="s">
        <v>27</v>
      </c>
      <c r="F39" s="351"/>
      <c r="G39" s="137"/>
      <c r="H39" s="138"/>
      <c r="I39" s="352">
        <f>IF(OR($AC$188="",R38&gt;0)=TRUE,"",IF(Q39&lt;&gt;"",Q39,IF(OR(AND($C$24=$AB$181,P39=1)=TRUE,AND(G39="",H39="")=TRUE)=TRUE,"",IF(AND(OR(G39&lt;&gt;"",H39&lt;&gt;"")=TRUE,$AC$188="")=TRUE,$AC$139,IF($C$24&lt;&gt;$AB$181,SUM(U39:V39),CONCATENATE($AC$164,AY39,AK39))))))</f>
      </c>
      <c r="J39" s="352"/>
      <c r="K39" s="352"/>
      <c r="L39" s="352"/>
      <c r="M39" s="352"/>
      <c r="N39" s="133">
        <f t="shared" si="10"/>
      </c>
      <c r="P39" s="271">
        <f t="shared" si="1"/>
        <v>0</v>
      </c>
      <c r="Q39" s="251">
        <f t="shared" si="2"/>
      </c>
      <c r="R39" s="251">
        <f>COUNTA($Q$32:Q39)-COUNTIF($Q$32:Q39,"")</f>
        <v>0</v>
      </c>
      <c r="S39" s="251">
        <f t="shared" si="9"/>
        <v>0</v>
      </c>
      <c r="T39" s="251">
        <f t="shared" si="3"/>
      </c>
      <c r="U39" s="251">
        <f t="shared" si="4"/>
      </c>
      <c r="V39" s="251">
        <f t="shared" si="5"/>
      </c>
      <c r="W39" s="265">
        <f t="shared" si="6"/>
      </c>
      <c r="X39" s="265">
        <f>IF(G39="","",IF(VLOOKUP($AC$188,$AC$192:$AI$288,$AI$190,FALSE)="",DATE(YEAR(G39)+1,MONTH(G39),DAY(G39)-1),DATE(YEAR(G39)+1,MONTH(G39)+3,DAY(G39)-1)))</f>
      </c>
      <c r="Y39" s="256">
        <f>IF(OR(G32="",H32="",G33="",H33="",G34="",H34="",G35="",H35="",G36="",H36="",G37="",H37="",G38="",H38="",G39="",H39="")=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IF(G39&gt;X32,0,IF(H39&lt;=X32,H39,X32)-IF(G39=X32,X32,G39)+1))</f>
        <v>0</v>
      </c>
      <c r="Z39" s="256">
        <f>IF(OR(G32="",H32="",G33="",H33="",G34="",H34="",G35="",H35="",G36="",H36="",G37="",H37="",G38="",H38="",G39="",H39="")=TRUE,0,IF(G33&gt;X33,0,IF(H33&lt;=X33,H33,X33)-IF(G33=X33,X33,G33)+1)+IF(G34&gt;X33,0,IF(H34&lt;=X33,H34,X33)-IF(G34=X33,X33,G34)+1)+IF(G35&gt;X33,0,IF(H35&lt;=X33,H35,X33)-IF(G35=X33,X33,G35)+1)+IF(G36&gt;X33,0,IF(H36&lt;=X33,H36,X33)-IF(G36=X33,X33,G36)+1)+IF(G37&gt;X33,0,IF(H37&lt;=X33,H37,X33)-IF(G37=X33,X33,G37)+1)+IF(G38&gt;X33,0,IF(H38&lt;=X33,H38,X33)-IF(G38=X33,X33,G38)+1)+IF(G39&gt;X33,0,IF(H39&lt;=X33,H39,X33)-IF(G39=X33,X33,G39)+1))</f>
        <v>0</v>
      </c>
      <c r="AA39" s="256">
        <f>IF(OR(G32="",H32="",G33="",H33="",G34="",H34="",G35="",H35="",G36="",H36="",G37="",H37="",G38="",H38="",G39="",H39="")=TRUE,0,IF(G34&gt;X34,0,IF(H34&lt;=X34,H34,X34)-IF(G34=X34,X34,G34)+1)+IF(G35&gt;X34,0,IF(H35&lt;=X34,H35,X34)-IF(G35=X34,X34,G35)+1)+IF(G36&gt;X34,0,IF(H36&lt;=X34,H36,X34)-IF(G36=X34,X34,G36)+1)+IF(G37&gt;X34,0,IF(H37&lt;=X34,H37,X34)-IF(G37=X34,X34,G37)+1)+IF(G38&gt;X34,0,IF(H38&lt;=X34,H38,X34)-IF(G38=X34,X34,G38)+1)+IF(G39&gt;X34,0,IF(H39&lt;=X34,H39,X34)-IF(G39=X34,X34,G39)+1))</f>
        <v>0</v>
      </c>
      <c r="AB39" s="256">
        <f>IF(OR(G32="",H32="",G33="",H33="",G34="",H34="",G35="",H35="",G36="",H36="",G37="",H37="",G38="",H38="",G39="",H39="")=TRUE,0,IF(G35&gt;X35,0,IF(H35&lt;=X35,H35,X35)-IF(G35=X35,X35,G35)+1)+IF(G36&gt;X35,0,IF(H36&lt;=X35,H36,X35)-IF(G36=X35,X35,G36)+1)+IF(G37&gt;X35,0,IF(H37&lt;=X35,H37,X35)-IF(G37=X35,X35,G37)+1)+IF(G38&gt;X35,0,IF(H38&lt;=X35,H38,X35)-IF(G38=X35,X35,G38)+1)+IF(G39&gt;X35,0,IF(H39&lt;=X35,H39,X35)-IF(G39=X35,X35,G39)+1))</f>
        <v>0</v>
      </c>
      <c r="AC39" s="256">
        <f>IF(OR(G32="",H32="",G33="",H33="",G34="",H34="",G35="",H35="",G36="",H36="",G37="",H37="",G38="",H38="",G39="",H39="")=TRUE,0,IF(G36&gt;X36,0,IF(H36&lt;=X36,H36,X36)-IF(G36=X36,X36,G36)+1)+IF(G37&gt;X36,0,IF(H37&lt;=X36,H37,X36)-IF(G37=X36,X36,G37)+1)+IF(G38&gt;X36,0,IF(H38&lt;=X36,H38,X36)-IF(G38=X36,X36,G38)+1)+IF(G39&gt;X36,0,IF(H39&lt;=X36,H39,X36)-IF(G39=X36,X36,G39)+1))</f>
        <v>0</v>
      </c>
      <c r="AD39" s="256">
        <f>IF(OR(G32="",H32="",G33="",H33="",G34="",H34="",G35="",H35="",G36="",H36="",G37="",H37="",G38="",H38="",G39="",H39="")=TRUE,0,IF(G37&gt;X37,0,IF(H37&lt;=X37,H37,X37)-IF(G37=X37,X37,G37)+1)+IF(G38&gt;X37,0,IF(H38&lt;=X37,H38,X37)-IF(G38=X37,X37,G38)+1)+IF(G39&gt;X37,0,IF(H39&lt;=X37,H39,X37)-IF(G39=X37,X37,G39)+1))</f>
        <v>0</v>
      </c>
      <c r="AE39" s="256">
        <f>IF(OR(G32="",H32="",G33="",H33="",G34="",H34="",G35="",H35="",G36="",H36="",G37="",H37="",G38="",H38="",G39="",H39="")=TRUE,0,IF(G38&gt;X38,0,IF(H38&lt;=X38,H38,X38)-IF(G38=X38,X38,G38)+1)+IF(G39&gt;X38,0,IF(H39&lt;=X38,H39,X38)-IF(G39=X38,X38,G39)+1))</f>
        <v>0</v>
      </c>
      <c r="AF39" s="256">
        <f>IF(OR(G32="",H32="",G33="",H33="",G34="",H34="",G35="",H35="",G36="",H36="",G37="",H37="",G38="",H38="",G39="",H39="")=TRUE,0,IF(G39&gt;X39,0,IF(H39&lt;=X39,H39,X39)-IF(G39=X39,X39,G39)+1))</f>
        <v>0</v>
      </c>
      <c r="AG39" s="256">
        <v>0</v>
      </c>
      <c r="AH39" s="256">
        <v>0</v>
      </c>
      <c r="AI39" s="256"/>
      <c r="AJ39" s="256">
        <v>8</v>
      </c>
      <c r="AK39" s="256">
        <f>IF(OR(AL39="",AM39="")=TRUE,"",CONCATENATE("in the",CHAR(10),IF(VLOOKUP($AC$188,$AC$192:$AI$288,$AI$190,FALSE)="","12-month period from ","15-month period from "),TEXT(AL39,"DD-MMM-YYYY to "),TEXT(AM39,"DD-MMM-YYYY"),"."))</f>
      </c>
      <c r="AL39" s="270">
        <f>IF(H39="","",IF(IF(VLOOKUP($AC$188,$AC$192:$AI$288,$AI$190,FALSE)="",DATE(YEAR(H39)-1,MONTH(H39),DAY(H39)+1),DATE(YEAR(H39)-1,MONTH(H39)-3,DAY(H39)+1))&lt;=AL38,AL38,IF(VLOOKUP($AC$188,$AC$192:$AI$288,$AI$190,FALSE)="",DATE(YEAR(H39)-1,MONTH(H39),DAY(H39)+1),DATE(YEAR(H39)-1,MONTH(H39)-3,DAY(H39)+1))))</f>
      </c>
      <c r="AM39" s="265">
        <f t="shared" si="7"/>
      </c>
      <c r="AN39" s="257">
        <v>0</v>
      </c>
      <c r="AO39" s="257">
        <v>0</v>
      </c>
      <c r="AP39" s="257">
        <v>0</v>
      </c>
      <c r="AQ39" s="257">
        <v>0</v>
      </c>
      <c r="AR39" s="258">
        <v>0</v>
      </c>
      <c r="AS39" s="257">
        <v>0</v>
      </c>
      <c r="AT39" s="257">
        <v>0</v>
      </c>
      <c r="AU39" s="257">
        <f>IF(OR(G32="",H32="",G33="",H33="",G34="",H34="",G35="",H35="",G36="",H36="",G37="",H37="",G38="",H38="",G39="",H39="")=TRUE,0,AM39-IF(AL39&gt;=G39,AL39,G39)+1)</f>
        <v>0</v>
      </c>
      <c r="AV39" s="257">
        <f>IF(OR(G32="",H32="",G33="",H33="",G34="",H34="",G35="",H35="",G36="",H36="",G37="",H37="",G38="",H38="",G39="",H39="",G40="",H40="")=TRUE,0,IF(AND(AL40&gt;G39,AL40&gt;H39)=TRUE,0,IF(AL40&gt;=H39,AL40,IF(H39&lt;=AM40,H39,AM40))-IF(AL40&gt;=G39,AL40,G39)+1))</f>
        <v>0</v>
      </c>
      <c r="AW39" s="257">
        <f>IF(OR(G32="",H32="",G33="",H33="",G34="",H34="",G35="",H35="",G36="",H36="",G37="",H37="",G38="",H38="",G39="",H39="",G40="",H40="",G41="",H41="")=TRUE,0,IF(AND(AL41&gt;G39,AL41&gt;H39)=TRUE,0,IF(AL41&gt;=H39,AL41,IF(H39&lt;=AM41,H39,AM41))-IF(AL41&gt;=G39,AL41,G39)+1))</f>
        <v>0</v>
      </c>
      <c r="AX39" s="251">
        <f>AU43</f>
        <v>0</v>
      </c>
      <c r="AY39" s="251" t="str">
        <f t="shared" si="8"/>
        <v>totalled  days </v>
      </c>
      <c r="AZ39" s="251"/>
      <c r="BA39" s="251"/>
      <c r="BB39" s="251"/>
      <c r="BC39" s="251"/>
      <c r="BD39" s="251"/>
      <c r="BE39" s="251"/>
      <c r="BF39" s="251"/>
      <c r="BG39" s="257"/>
      <c r="BH39" s="257"/>
    </row>
    <row r="40" spans="2:60" ht="30" customHeight="1" hidden="1">
      <c r="B40" s="59" t="s">
        <v>8</v>
      </c>
      <c r="C40" s="130">
        <f t="shared" si="0"/>
      </c>
      <c r="D40" s="134">
        <v>9</v>
      </c>
      <c r="E40" s="350" t="s">
        <v>28</v>
      </c>
      <c r="F40" s="351"/>
      <c r="G40" s="137"/>
      <c r="H40" s="138"/>
      <c r="I40" s="352">
        <f>IF(OR($AC$188="",R39&gt;0)=TRUE,"",IF(Q40&lt;&gt;"",Q40,IF(OR(AND($C$24=$AB$181,P40=1)=TRUE,AND(G40="",H40="")=TRUE)=TRUE,"",IF(AND(OR(G40&lt;&gt;"",H40&lt;&gt;"")=TRUE,$AC$188="")=TRUE,$AC$139,IF($C$24&lt;&gt;$AB$181,SUM(U40:V40),CONCATENATE($AC$164,AY40,AK40))))))</f>
      </c>
      <c r="J40" s="352"/>
      <c r="K40" s="352"/>
      <c r="L40" s="352"/>
      <c r="M40" s="352"/>
      <c r="N40" s="133">
        <f t="shared" si="10"/>
      </c>
      <c r="P40" s="271">
        <f t="shared" si="1"/>
        <v>0</v>
      </c>
      <c r="Q40" s="251">
        <f t="shared" si="2"/>
      </c>
      <c r="R40" s="251">
        <f>COUNTA($Q$32:Q40)-COUNTIF($Q$32:Q40,"")</f>
        <v>0</v>
      </c>
      <c r="S40" s="251">
        <f t="shared" si="9"/>
        <v>0</v>
      </c>
      <c r="T40" s="251">
        <f t="shared" si="3"/>
      </c>
      <c r="U40" s="251">
        <f t="shared" si="4"/>
      </c>
      <c r="V40" s="251">
        <f t="shared" si="5"/>
      </c>
      <c r="W40" s="265">
        <f t="shared" si="6"/>
      </c>
      <c r="X40" s="265">
        <f>IF(G40="","",IF(VLOOKUP($AC$188,$AC$192:$AI$288,$AI$190,FALSE)="",DATE(YEAR(G40)+1,MONTH(G40),DAY(G40)-1),DATE(YEAR(G40)+1,MONTH(G40)+3,DAY(G40)-1)))</f>
      </c>
      <c r="Y40" s="256">
        <f>IF(OR(G32="",H32="",G33="",H33="",G34="",H34="",G35="",H35="",G36="",H36="",G37="",H37="",G38="",H38="",G39="",H39="",G40="",H40="")=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IF(G39&gt;X32,0,IF(H39&lt;=X32,H39,X32)-IF(G39=X32,X32,G39)+1)+IF(G40&gt;X32,0,IF(H40&lt;=X32,H40,X32)-IF(G40=X32,X32,G40)+1))</f>
        <v>0</v>
      </c>
      <c r="Z40" s="256">
        <f>IF(OR(G32="",H32="",G33="",H33="",G34="",H34="",G35="",H35="",G36="",H36="",G37="",H37="",G38="",H38="",G39="",H39="",G40="",H40="")=TRUE,0,IF(G33&gt;X33,0,IF(H33&lt;=X33,H33,X33)-IF(G33=X33,X33,G33)+1)+IF(G34&gt;X33,0,IF(H34&lt;=X33,H34,X33)-IF(G34=X33,X33,G34)+1)+IF(G35&gt;X33,0,IF(H35&lt;=X33,H35,X33)-IF(G35=X33,X33,G35)+1)+IF(G36&gt;X33,0,IF(H36&lt;=X33,H36,X33)-IF(G36=X33,X33,G36)+1)+IF(G37&gt;X33,0,IF(H37&lt;=X33,H37,X33)-IF(G37=X33,X33,G37)+1)+IF(G38&gt;X33,0,IF(H38&lt;=X33,H38,X33)-IF(G38=X33,X33,G38)+1)+IF(G39&gt;X33,0,IF(H39&lt;=X33,H39,X33)-IF(G39=X33,X33,G39)+1)+IF(G40&gt;X33,0,IF(H40&lt;=X33,H40,X33)-IF(G40=X33,X33,G40)+1))</f>
        <v>0</v>
      </c>
      <c r="AA40" s="256">
        <f>IF(OR(G32="",H32="",G33="",H33="",G34="",H34="",G35="",H35="",G36="",H36="",G37="",H37="",G38="",H38="",G39="",H39="",G40="",H40="")=TRUE,0,IF(G34&gt;X34,0,IF(H34&lt;=X34,H34,X34)-IF(G34=X34,X34,G34)+1)+IF(G35&gt;X34,0,IF(H35&lt;=X34,H35,X34)-IF(G35=X34,X34,G35)+1)+IF(G36&gt;X34,0,IF(H36&lt;=X34,H36,X34)-IF(G36=X34,X34,G36)+1)+IF(G37&gt;X34,0,IF(H37&lt;=X34,H37,X34)-IF(G37=X34,X34,G37)+1)+IF(G38&gt;X34,0,IF(H38&lt;=X34,H38,X34)-IF(G38=X34,X34,G38)+1)+IF(G39&gt;X34,0,IF(H39&lt;=X34,H39,X34)-IF(G39=X34,X34,G39)+1)+IF(G40&gt;X34,0,IF(H40&lt;=X34,H40,X34)-IF(G40=X34,X34,G40)+1))</f>
        <v>0</v>
      </c>
      <c r="AB40" s="256">
        <f>IF(OR(G32="",H32="",G33="",H33="",G34="",H34="",G35="",H35="",G36="",H36="",G37="",H37="",G38="",H38="",G39="",H39="",G40="",H40="")=TRUE,0,IF(G35&gt;X35,0,IF(H35&lt;=X35,H35,X35)-IF(G35=X35,X35,G35)+1)+IF(G36&gt;X35,0,IF(H36&lt;=X35,H36,X35)-IF(G36=X35,X35,G36)+1)+IF(G37&gt;X35,0,IF(H37&lt;=X35,H37,X35)-IF(G37=X35,X35,G37)+1)+IF(G38&gt;X35,0,IF(H38&lt;=X35,H38,X35)-IF(G38=X35,X35,G38)+1)+IF(G39&gt;X35,0,IF(H39&lt;=X35,H39,X35)-IF(G39=X35,X35,G39)+1)+IF(G40&gt;X35,0,IF(H40&lt;=X35,H40,X35)-IF(G40=X35,X35,G40)+1))</f>
        <v>0</v>
      </c>
      <c r="AC40" s="256">
        <f>IF(OR(G32="",H32="",G33="",H33="",G34="",H34="",G35="",H35="",G36="",H36="",G37="",H37="",G38="",H38="",G39="",H39="",G40="",H40="")=TRUE,0,IF(G36&gt;X36,0,IF(H36&lt;=X36,H36,X36)-IF(G36=X36,X36,G36)+1)+IF(G37&gt;X36,0,IF(H37&lt;=X36,H37,X36)-IF(G37=X36,X36,G37)+1)+IF(G38&gt;X36,0,IF(H38&lt;=X36,H38,X36)-IF(G38=X36,X36,G38)+1)+IF(G39&gt;X36,0,IF(H39&lt;=X36,H39,X36)-IF(G39=X36,X36,G39)+1)+IF(G40&gt;X36,0,IF(H40&lt;=X36,H40,X36)-IF(G40=X36,X36,G40)+1))</f>
        <v>0</v>
      </c>
      <c r="AD40" s="256">
        <f>IF(OR(G32="",H32="",G33="",H33="",G34="",H34="",G35="",H35="",G36="",H36="",G37="",H37="",G38="",H38="",G39="",H39="",G40="",H40="")=TRUE,0,IF(G37&gt;X37,0,IF(H37&lt;=X37,H37,X37)-IF(G37=X37,X37,G37)+1)+IF(G38&gt;X37,0,IF(H38&lt;=X37,H38,X37)-IF(G38=X37,X37,G38)+1)+IF(G39&gt;X37,0,IF(H39&lt;=X37,H39,X37)-IF(G39=X37,X37,G39)+1)+IF(G40&gt;X37,0,IF(H40&lt;=X37,H40,X37)-IF(G40=X37,X37,G40)+1))</f>
        <v>0</v>
      </c>
      <c r="AE40" s="256">
        <f>IF(OR(G32="",H32="",G33="",H33="",G34="",H34="",G35="",H35="",G36="",H36="",G37="",H37="",G38="",H38="",G39="",H39="",G40="",H40="")=TRUE,0,IF(G38&gt;X38,0,IF(H38&lt;=X38,H38,X38)-IF(G38=X38,X38,G38)+1)+IF(G39&gt;X38,0,IF(H39&lt;=X38,H39,X38)-IF(G39=X38,X38,G39)+1)+IF(G40&gt;X38,0,IF(H40&lt;=X38,H40,X38)-IF(G40=X38,X38,G40)+1))</f>
        <v>0</v>
      </c>
      <c r="AF40" s="256">
        <f>IF(OR(G32="",H32="",G33="",H33="",G34="",H34="",G35="",H35="",G36="",H36="",G37="",H37="",G38="",H38="",G39="",H39="",G40="",H40="")=TRUE,0,IF(G39&gt;X39,0,IF(H39&lt;=X39,H39,X39)-IF(G39=X39,X39,G39)+1)+IF(G40&gt;X39,0,IF(H40&lt;=X39,H40,X39)-IF(G40=X39,X39,G40)+1))</f>
        <v>0</v>
      </c>
      <c r="AG40" s="256">
        <f>IF(OR(G32="",H32="",G33="",H33="",G34="",H34="",G35="",H35="",G36="",H36="",G37="",H37="",G38="",H38="",G39="",H39="",G40="",H40="")=TRUE,0,IF(G40&gt;X40,0,IF(H40&lt;=X40,H40,X40)-IF(G40=X40,X40,G40)+1))</f>
        <v>0</v>
      </c>
      <c r="AH40" s="256">
        <v>0</v>
      </c>
      <c r="AI40" s="256"/>
      <c r="AJ40" s="256">
        <v>9</v>
      </c>
      <c r="AK40" s="256">
        <f>IF(OR(AL40="",AM40="")=TRUE,"",CONCATENATE("in the",CHAR(10),IF(VLOOKUP($AC$188,$AC$192:$AI$288,$AI$190,FALSE)="","12-month period from ","15-month period from "),TEXT(AL40,"DD-MMM-YYYY to "),TEXT(AM40,"DD-MMM-YYYY"),"."))</f>
      </c>
      <c r="AL40" s="270">
        <f>IF(H40="","",IF(IF(VLOOKUP($AC$188,$AC$192:$AI$288,$AI$190,FALSE)="",DATE(YEAR(H40)-1,MONTH(H40),DAY(H40)+1),DATE(YEAR(H40)-1,MONTH(H40)-3,DAY(H40)+1))&lt;=AL39,AL39,IF(VLOOKUP($AC$188,$AC$192:$AI$288,$AI$190,FALSE)="",DATE(YEAR(H40)-1,MONTH(H40),DAY(H40)+1),DATE(YEAR(H40)-1,MONTH(H40)-3,DAY(H40)+1))))</f>
      </c>
      <c r="AM40" s="265">
        <f t="shared" si="7"/>
      </c>
      <c r="AN40" s="257">
        <v>0</v>
      </c>
      <c r="AO40" s="257">
        <v>0</v>
      </c>
      <c r="AP40" s="257">
        <v>0</v>
      </c>
      <c r="AQ40" s="257">
        <v>0</v>
      </c>
      <c r="AR40" s="258">
        <v>0</v>
      </c>
      <c r="AS40" s="257">
        <v>0</v>
      </c>
      <c r="AT40" s="257">
        <v>0</v>
      </c>
      <c r="AU40" s="257">
        <v>0</v>
      </c>
      <c r="AV40" s="257">
        <f>IF(OR(G32="",H32="",G33="",H33="",G34="",H34="",G35="",H35="",G36="",H36="",G37="",H37="",G38="",H38="",G39="",H39="",G40="",H40="")=TRUE,0,AM40-IF(AL40&gt;=G40,AL40,G40)+1)</f>
        <v>0</v>
      </c>
      <c r="AW40" s="257">
        <f>IF(OR(G32="",H32="",G33="",H33="",G34="",H34="",G35="",H35="",G36="",H36="",G37="",H37="",G38="",H38="",G39="",H39="",G40="",H40="",G41="",H41="")=TRUE,0,IF(AND(AL41&gt;G40,AL41&gt;H40)=TRUE,0,IF(AL41&gt;=H40,AL41,IF(H40&lt;=AM41,H40,AM41))-IF(AL41&gt;=G40,AL41,G40)+1))</f>
        <v>0</v>
      </c>
      <c r="AX40" s="251">
        <f>AV43</f>
        <v>0</v>
      </c>
      <c r="AY40" s="251" t="str">
        <f t="shared" si="8"/>
        <v>totalled  days </v>
      </c>
      <c r="AZ40" s="251"/>
      <c r="BA40" s="251"/>
      <c r="BB40" s="251"/>
      <c r="BC40" s="251"/>
      <c r="BD40" s="251"/>
      <c r="BE40" s="251"/>
      <c r="BF40" s="251"/>
      <c r="BG40" s="257"/>
      <c r="BH40" s="257"/>
    </row>
    <row r="41" spans="2:60" ht="30" customHeight="1" hidden="1">
      <c r="B41" s="59" t="s">
        <v>8</v>
      </c>
      <c r="C41" s="130">
        <f t="shared" si="0"/>
      </c>
      <c r="D41" s="134">
        <v>10</v>
      </c>
      <c r="E41" s="350" t="s">
        <v>29</v>
      </c>
      <c r="F41" s="351"/>
      <c r="G41" s="137"/>
      <c r="H41" s="138"/>
      <c r="I41" s="352">
        <f>IF(OR($AC$188="",R40&gt;0)=TRUE,"",IF(Q41&lt;&gt;"",Q41,IF(OR(AND($C$24=$AB$181,P41=1)=TRUE,AND(G41="",H41="")=TRUE)=TRUE,"",IF(AND(OR(G41&lt;&gt;"",H41&lt;&gt;"")=TRUE,$AC$188="")=TRUE,$AC$139,IF($C$24&lt;&gt;$AB$181,SUM(U41:V41),CONCATENATE($AC$164,AY41,AK41))))))</f>
      </c>
      <c r="J41" s="352"/>
      <c r="K41" s="352"/>
      <c r="L41" s="352"/>
      <c r="M41" s="352"/>
      <c r="N41" s="133">
        <f t="shared" si="10"/>
      </c>
      <c r="P41" s="271">
        <f>IF(COUNTA(G41:H43)=4,1,0)</f>
        <v>0</v>
      </c>
      <c r="Q41" s="251">
        <f>IF(COUNTBLANK(G41:H41)=2,"",IF(COUNTBLANK(G41)=1,"Please enter start date of engagement",IF(COUNTBLANK(H41)=1,"Please enter end date of engagement",IF(H41&lt;G41,"Engagement end date is earlier than engagement start date",""))))</f>
      </c>
      <c r="R41" s="251">
        <f>COUNTA($Q$32:Q41)-COUNTIF($Q$32:Q41,"")</f>
        <v>0</v>
      </c>
      <c r="S41" s="251">
        <f t="shared" si="9"/>
        <v>0</v>
      </c>
      <c r="T41" s="251">
        <f t="shared" si="3"/>
      </c>
      <c r="U41" s="251">
        <f t="shared" si="4"/>
      </c>
      <c r="V41" s="251">
        <f t="shared" si="5"/>
      </c>
      <c r="W41" s="265">
        <f t="shared" si="6"/>
      </c>
      <c r="X41" s="265">
        <f>IF(G41="","",IF(VLOOKUP($AC$188,$AC$192:$AI$288,$AI$190,FALSE)="",DATE(YEAR(G41)+1,MONTH(G41),DAY(G41)-1),DATE(YEAR(G41)+1,MONTH(G41)+3,DAY(G41)-1)))</f>
      </c>
      <c r="Y41" s="256">
        <f>IF(OR(G32="",H32="",G33="",H33="",G34="",H34="",G35="",H35="",G36="",H36="",G37="",H37="",G38="",H38="",G39="",H39="",G40="",H40="",G41="",H41="")=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IF(G39&gt;X32,0,IF(H39&lt;=X32,H39,X32)-IF(G39=X32,X32,G39)+1)+IF(G40&gt;X32,0,IF(H40&lt;=X32,H40,X32)-IF(G40=X32,X32,G40)+1)+IF(G41&gt;X32,0,IF(H41&lt;=X32,H41,X32)-IF(G41=X32,X32,G41)+1))</f>
        <v>0</v>
      </c>
      <c r="Z41" s="256">
        <f>IF(OR(G32="",H32="",G33="",H33="",G34="",H34="",G35="",H35="",G36="",H36="",G37="",H37="",G38="",H38="",G39="",H39="",G40="",H40="",G41="",H41="")=TRUE,0,IF(G33&gt;X33,0,IF(H33&lt;=X33,H33,X33)-IF(G33=X33,X33,G33)+1)+IF(G34&gt;X33,0,IF(H34&lt;=X33,H34,X33)-IF(G34=X33,X33,G34)+1)+IF(G35&gt;X33,0,IF(H35&lt;=X33,H35,X33)-IF(G35=X33,X33,G35)+1)+IF(G36&gt;X33,0,IF(H36&lt;=X33,H36,X33)-IF(G36=X33,X33,G36)+1)+IF(G37&gt;X33,0,IF(H37&lt;=X33,H37,X33)-IF(G37=X33,X33,G37)+1)+IF(G38&gt;X33,0,IF(H38&lt;=X33,H38,X33)-IF(G38=X33,X33,G38)+1)+IF(G39&gt;X33,0,IF(H39&lt;=X33,H39,X33)-IF(G39=X33,X33,G39)+1)+IF(G40&gt;X33,0,IF(H40&lt;=X33,H40,X33)-IF(G40=X33,X33,G40)+1)+IF(G41&gt;X33,0,IF(H41&lt;=X33,H41,X33)-IF(G41=X33,X33,G41)+1))</f>
        <v>0</v>
      </c>
      <c r="AA41" s="256">
        <f>IF(OR(G32="",H32="",G33="",H33="",G34="",H34="",G35="",H35="",G36="",H36="",G37="",H37="",G38="",H38="",G39="",H39="",G40="",H40="",G41="",H41="")=TRUE,0,IF(G34&gt;X34,0,IF(H34&lt;=X34,H34,X34)-IF(G34=X34,X34,G34)+1)+IF(G35&gt;X34,0,IF(H35&lt;=X34,H35,X34)-IF(G35=X34,X34,G35)+1)+IF(G36&gt;X34,0,IF(H36&lt;=X34,H36,X34)-IF(G36=X34,X34,G36)+1)+IF(G37&gt;X34,0,IF(H37&lt;=X34,H37,X34)-IF(G37=X34,X34,G37)+1)+IF(G38&gt;X34,0,IF(H38&lt;=X34,H38,X34)-IF(G38=X34,X34,G38)+1)+IF(G39&gt;X34,0,IF(H39&lt;=X34,H39,X34)-IF(G39=X34,X34,G39)+1)+IF(G40&gt;X34,0,IF(H40&lt;=X34,H40,X34)-IF(G40=X34,X34,G40)+1)+IF(G41&gt;X34,0,IF(H41&lt;=X34,H41,X34)-IF(G41=X34,X34,G41)+1))</f>
        <v>0</v>
      </c>
      <c r="AB41" s="256">
        <f>IF(OR(G32="",H32="",G33="",H33="",G34="",H34="",G35="",H35="",G36="",H36="",G37="",H37="",G38="",H38="",G39="",H39="",G40="",H40="",G41="",H41="")=TRUE,0,IF(G35&gt;X35,0,IF(H35&lt;=X35,H35,X35)-IF(G35=X35,X35,G35)+1)+IF(G36&gt;X35,0,IF(H36&lt;=X35,H36,X35)-IF(G36=X35,X35,G36)+1)+IF(G37&gt;X35,0,IF(H37&lt;=X35,H37,X35)-IF(G37=X35,X35,G37)+1)+IF(G38&gt;X35,0,IF(H38&lt;=X35,H38,X35)-IF(G38=X35,X35,G38)+1)+IF(G39&gt;X35,0,IF(H39&lt;=X35,H39,X35)-IF(G39=X35,X35,G39)+1)+IF(G40&gt;X35,0,IF(H40&lt;=X35,H40,X35)-IF(G40=X35,X35,G40)+1)+IF(G41&gt;X35,0,IF(H41&lt;=X35,H41,X35)-IF(G41=X35,X35,G41)+1))</f>
        <v>0</v>
      </c>
      <c r="AC41" s="256">
        <f>IF(OR(G32="",H32="",G33="",H33="",G34="",H34="",G35="",H35="",G36="",H36="",G37="",H37="",G38="",H38="",G39="",H39="",G40="",H40="",G41="",H41="")=TRUE,0,IF(G36&gt;X36,0,IF(H36&lt;=X36,H36,X36)-IF(G36=X36,X36,G36)+1)+IF(G37&gt;X36,0,IF(H37&lt;=X36,H37,X36)-IF(G37=X36,X36,G37)+1)+IF(G38&gt;X36,0,IF(H38&lt;=X36,H38,X36)-IF(G38=X36,X36,G38)+1)+IF(G39&gt;X36,0,IF(H39&lt;=X36,H39,X36)-IF(G39=X36,X36,G39)+1)+IF(G40&gt;X36,0,IF(H40&lt;=X36,H40,X36)-IF(G40=X36,X36,G40)+1)+IF(G41&gt;X36,0,IF(H41&lt;=X36,H41,X36)-IF(G41=X36,X36,G41)+1))</f>
        <v>0</v>
      </c>
      <c r="AD41" s="256">
        <f>IF(OR(G32="",H32="",G33="",H33="",G34="",H34="",G35="",H35="",G36="",H36="",G37="",H37="",G38="",H38="",G39="",H39="",G40="",H40="",G41="",H41="")=TRUE,0,IF(G37&gt;X37,0,IF(H37&lt;=X37,H37,X37)-IF(G37=X37,X37,G37)+1)+IF(G38&gt;X37,0,IF(H38&lt;=X37,H38,X37)-IF(G38=X37,X37,G38)+1)+IF(G39&gt;X37,0,IF(H39&lt;=X37,H39,X37)-IF(G39=X37,X37,G39)+1)+IF(G40&gt;X37,0,IF(H40&lt;=X37,H40,X37)-IF(G40=X37,X37,G40)+1)+IF(G41&gt;X37,0,IF(H41&lt;=X37,H41,X37)-IF(G41=X37,X37,G41)+1))</f>
        <v>0</v>
      </c>
      <c r="AE41" s="256">
        <f>IF(OR(G32="",H32="",G33="",H33="",G34="",H34="",G35="",H35="",G36="",H36="",G37="",H37="",G38="",H38="",G39="",H39="",G40="",H40="",G41="",H41="")=TRUE,0,IF(G38&gt;X38,0,IF(H38&lt;=X38,H38,X38)-IF(G38=X38,X38,G38)+1)+IF(G39&gt;X38,0,IF(H39&lt;=X38,H39,X38)-IF(G39=X38,X38,G39)+1)+IF(G40&gt;X38,0,IF(H40&lt;=X38,H40,X38)-IF(G40=X38,X38,G40)+1)+IF(G41&gt;X38,0,IF(H41&lt;=X38,H41,X38)-IF(G41=X38,X38,G41)+1))</f>
        <v>0</v>
      </c>
      <c r="AF41" s="256">
        <f>IF(OR(G32="",H32="",G33="",H33="",G34="",H34="",G35="",H35="",G36="",H36="",G37="",H37="",G38="",H38="",G39="",H39="",G40="",H40="",G41="",H41="")=TRUE,0,IF(G39&gt;X39,0,IF(H39&lt;=X39,H39,X39)-IF(G39=X39,X39,G39)+1)+IF(G40&gt;X39,0,IF(H40&lt;=X39,H40,X39)-IF(G40=X39,X39,G40)+1)+IF(G41&gt;X39,0,IF(H41&lt;=X39,H41,X39)-IF(G41=X39,X39,G41)+1))</f>
        <v>0</v>
      </c>
      <c r="AG41" s="256">
        <f>IF(OR(G32="",H32="",G33="",H33="",G34="",H34="",G35="",H35="",G36="",H36="",G37="",H37="",G38="",H38="",G39="",H39="",G40="",H40="",G41="",H41="")=TRUE,0,IF(G40&gt;X40,0,IF(H40&lt;=X40,H40,X40)-IF(G40=X40,X40,G40)+1)+IF(G41&gt;X40,0,IF(H41&lt;=X40,H41,X40)-IF(G41=X40,X40,G41)+1))</f>
        <v>0</v>
      </c>
      <c r="AH41" s="256">
        <f>IF(OR(G32="",H32="",G33="",H33="",G34="",H34="",G35="",H35="",G36="",H36="",G37="",H37="",G38="",H38="",G39="",H39="",G40="",H40="",G41="",H41="")=TRUE,0,IF(G41&gt;X41,0,IF(H41&lt;=X41,H41,X41)-IF(G41=X41,X41,G41)+1))</f>
        <v>0</v>
      </c>
      <c r="AI41" s="256"/>
      <c r="AJ41" s="256">
        <v>10</v>
      </c>
      <c r="AK41" s="256">
        <f>IF(OR(AL41="",AM41="")=TRUE,"",CONCATENATE("in the",CHAR(10),IF(VLOOKUP($AC$188,$AC$192:$AI$288,$AI$190,FALSE)="","12-month period from ","15-month period from "),TEXT(AL41,"DD-MMM-YYYY to "),TEXT(AM41,"DD-MMM-YYYY"),"."))</f>
      </c>
      <c r="AL41" s="270">
        <f>IF(H41="","",IF(IF(VLOOKUP($AC$188,$AC$192:$AI$288,$AI$190,FALSE)="",DATE(YEAR(H41)-1,MONTH(H41),DAY(H41)+1),DATE(YEAR(H41)-1,MONTH(H41)-3,DAY(H41)+1))&lt;=AL40,AL40,IF(VLOOKUP($AC$188,$AC$192:$AI$288,$AI$190,FALSE)="",DATE(YEAR(H41)-1,MONTH(H41),DAY(H41)+1),DATE(YEAR(H41)-1,MONTH(H41)-3,DAY(H41)+1))))</f>
      </c>
      <c r="AM41" s="265">
        <f t="shared" si="7"/>
      </c>
      <c r="AN41" s="257">
        <v>0</v>
      </c>
      <c r="AO41" s="257">
        <v>0</v>
      </c>
      <c r="AP41" s="257">
        <v>0</v>
      </c>
      <c r="AQ41" s="257">
        <v>0</v>
      </c>
      <c r="AR41" s="258">
        <v>0</v>
      </c>
      <c r="AS41" s="257">
        <v>0</v>
      </c>
      <c r="AT41" s="257">
        <v>0</v>
      </c>
      <c r="AU41" s="257">
        <v>0</v>
      </c>
      <c r="AV41" s="257">
        <v>0</v>
      </c>
      <c r="AW41" s="257">
        <f>IF(OR(G32="",H32="",G33="",H33="",G34="",H34="",G35="",H35="",G36="",H36="",G37="",H37="",G38="",H38="",G39="",H39="",G40="",H40="",G41="",H41="")=TRUE,0,AM41-IF(AL41&gt;=G41,AL41,G41)+1)</f>
        <v>0</v>
      </c>
      <c r="AX41" s="251">
        <f>AW43</f>
        <v>0</v>
      </c>
      <c r="AY41" s="251" t="str">
        <f t="shared" si="8"/>
        <v>totalled  days </v>
      </c>
      <c r="AZ41" s="251"/>
      <c r="BA41" s="251"/>
      <c r="BB41" s="251"/>
      <c r="BC41" s="251"/>
      <c r="BD41" s="251"/>
      <c r="BE41" s="251"/>
      <c r="BF41" s="251"/>
      <c r="BG41" s="257"/>
      <c r="BH41" s="257"/>
    </row>
    <row r="42" spans="2:60" ht="8.25" customHeight="1">
      <c r="B42" s="42"/>
      <c r="C42" s="130"/>
      <c r="D42" s="134"/>
      <c r="E42" s="139"/>
      <c r="F42" s="139"/>
      <c r="G42" s="140"/>
      <c r="H42" s="140"/>
      <c r="I42" s="141"/>
      <c r="J42" s="141"/>
      <c r="K42" s="141"/>
      <c r="L42" s="141"/>
      <c r="M42" s="139"/>
      <c r="N42" s="133"/>
      <c r="P42" s="271"/>
      <c r="Q42" s="251"/>
      <c r="R42" s="251"/>
      <c r="S42" s="251"/>
      <c r="T42" s="251"/>
      <c r="U42" s="251"/>
      <c r="V42" s="251">
        <f t="shared" si="5"/>
      </c>
      <c r="W42" s="265"/>
      <c r="X42" s="265"/>
      <c r="Y42" s="256"/>
      <c r="Z42" s="256"/>
      <c r="AA42" s="256"/>
      <c r="AB42" s="256"/>
      <c r="AC42" s="256"/>
      <c r="AD42" s="256"/>
      <c r="AE42" s="256"/>
      <c r="AF42" s="256"/>
      <c r="AG42" s="256"/>
      <c r="AH42" s="256"/>
      <c r="AI42" s="256"/>
      <c r="AJ42" s="256"/>
      <c r="AK42" s="256"/>
      <c r="AL42" s="265"/>
      <c r="AM42" s="265"/>
      <c r="AN42" s="257"/>
      <c r="AO42" s="257"/>
      <c r="AP42" s="257"/>
      <c r="AQ42" s="257"/>
      <c r="AR42" s="258"/>
      <c r="AS42" s="257"/>
      <c r="AT42" s="257"/>
      <c r="AU42" s="257"/>
      <c r="AV42" s="257"/>
      <c r="AW42" s="257"/>
      <c r="AX42" s="251"/>
      <c r="AY42" s="251"/>
      <c r="AZ42" s="251"/>
      <c r="BA42" s="251"/>
      <c r="BB42" s="251"/>
      <c r="BC42" s="251"/>
      <c r="BD42" s="251"/>
      <c r="BE42" s="251"/>
      <c r="BF42" s="251"/>
      <c r="BG42" s="257"/>
      <c r="BH42" s="257"/>
    </row>
    <row r="43" spans="3:60" ht="17.25">
      <c r="C43" s="142"/>
      <c r="D43" s="36">
        <f>COUNTIF($C$32:$C$41,"Taxable")</f>
        <v>0</v>
      </c>
      <c r="E43" s="143"/>
      <c r="F43" s="143"/>
      <c r="G43" s="143"/>
      <c r="H43" s="144" t="str">
        <f>IF(C24&lt;&gt;AB181,"Total Stay in Singapore:","")</f>
        <v>Total Stay in Singapore:</v>
      </c>
      <c r="I43" s="353">
        <f>IF($C$24&lt;&gt;$AB$181,IF(SUM($S$32:$S$41)&gt;0,$AC$167,IF(V25&lt;&gt;X25,"",CONCATENATE(SUM(U32:U41)," days (year ",X25,")"))),"")</f>
      </c>
      <c r="J43" s="353"/>
      <c r="K43" s="353">
        <f>IF($C$24&lt;&gt;$AB$181,IF(I43=AC167,"",IF(SUM($V$32:$V$41)=0,"",CONCATENATE(SUM(V32:V41)," days (year ",X26,")"))),"")</f>
      </c>
      <c r="L43" s="353"/>
      <c r="M43" s="145"/>
      <c r="N43" s="37"/>
      <c r="P43" s="251"/>
      <c r="Q43" s="251"/>
      <c r="R43" s="251"/>
      <c r="S43" s="251"/>
      <c r="T43" s="251"/>
      <c r="U43" s="251"/>
      <c r="V43" s="257"/>
      <c r="W43" s="257"/>
      <c r="X43" s="257" t="s">
        <v>30</v>
      </c>
      <c r="Y43" s="256">
        <f aca="true" t="shared" si="11" ref="Y43:AH43">MAX(Y32:Y41)</f>
        <v>0</v>
      </c>
      <c r="Z43" s="256">
        <f t="shared" si="11"/>
        <v>0</v>
      </c>
      <c r="AA43" s="256">
        <f t="shared" si="11"/>
        <v>0</v>
      </c>
      <c r="AB43" s="256">
        <f t="shared" si="11"/>
        <v>0</v>
      </c>
      <c r="AC43" s="256">
        <f t="shared" si="11"/>
        <v>0</v>
      </c>
      <c r="AD43" s="256">
        <f t="shared" si="11"/>
        <v>0</v>
      </c>
      <c r="AE43" s="256">
        <f t="shared" si="11"/>
        <v>0</v>
      </c>
      <c r="AF43" s="256">
        <f t="shared" si="11"/>
        <v>0</v>
      </c>
      <c r="AG43" s="256">
        <f t="shared" si="11"/>
        <v>0</v>
      </c>
      <c r="AH43" s="256">
        <f t="shared" si="11"/>
        <v>0</v>
      </c>
      <c r="AI43" s="256"/>
      <c r="AJ43" s="256"/>
      <c r="AK43" s="251"/>
      <c r="AL43" s="257"/>
      <c r="AM43" s="257" t="s">
        <v>31</v>
      </c>
      <c r="AN43" s="258">
        <f aca="true" t="shared" si="12" ref="AN43:AW43">SUM(AN32:AN41)</f>
        <v>0</v>
      </c>
      <c r="AO43" s="258">
        <f t="shared" si="12"/>
        <v>0</v>
      </c>
      <c r="AP43" s="258">
        <f t="shared" si="12"/>
        <v>0</v>
      </c>
      <c r="AQ43" s="258">
        <f t="shared" si="12"/>
        <v>0</v>
      </c>
      <c r="AR43" s="258">
        <f t="shared" si="12"/>
        <v>0</v>
      </c>
      <c r="AS43" s="258">
        <f t="shared" si="12"/>
        <v>0</v>
      </c>
      <c r="AT43" s="258">
        <f t="shared" si="12"/>
        <v>0</v>
      </c>
      <c r="AU43" s="258">
        <f t="shared" si="12"/>
        <v>0</v>
      </c>
      <c r="AV43" s="258">
        <f t="shared" si="12"/>
        <v>0</v>
      </c>
      <c r="AW43" s="258">
        <f t="shared" si="12"/>
        <v>0</v>
      </c>
      <c r="AX43" s="251"/>
      <c r="AY43" s="251"/>
      <c r="AZ43" s="251"/>
      <c r="BA43" s="251"/>
      <c r="BB43" s="251"/>
      <c r="BC43" s="251"/>
      <c r="BD43" s="251"/>
      <c r="BE43" s="251"/>
      <c r="BF43" s="251"/>
      <c r="BG43" s="257"/>
      <c r="BH43" s="257"/>
    </row>
    <row r="44" spans="3:60" ht="8.25" customHeight="1" thickBot="1">
      <c r="C44" s="99"/>
      <c r="D44" s="116"/>
      <c r="E44" s="117"/>
      <c r="F44" s="117"/>
      <c r="G44" s="117"/>
      <c r="H44" s="23"/>
      <c r="I44" s="38">
        <f>IF(OR($AC$188="",$D$24&lt;&gt;"&gt;&gt;",V25&lt;&gt;X25)=TRUE,"",IF(AND(D24="&gt;&gt;",COUNTBLANK(G32:H32)&gt;=2)=TRUE,"?",IF(C24=AB180,IF(SUM($U$32:$U$41)&gt;VLOOKUP(AC188,AC192:AK288,AF190,FALSE),"Taxable","Exempt"),IF(R41&gt;=1,AC167,""))))</f>
      </c>
      <c r="J44" s="38"/>
      <c r="K44" s="38"/>
      <c r="L44" s="38">
        <f>IF(OR($AC$188="",$D$24&lt;&gt;"&gt;&gt;")=TRUE,"",IF(AND(D24="&gt;&gt;",COUNTBLANK(G32:H32)&gt;=2)=TRUE,"?",IF(C24=AB180,IF(SUM($V$32:$V$41)&gt;VLOOKUP(AC188,AC192:AK288,AF190,FALSE),"Taxable","Exempt"),IF(R41&gt;=1,AC167,""))))</f>
      </c>
      <c r="M44" s="146"/>
      <c r="N44" s="26"/>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row>
    <row r="45" spans="3:60" ht="8.25" customHeight="1">
      <c r="C45" s="147"/>
      <c r="D45" s="127"/>
      <c r="E45" s="98"/>
      <c r="F45" s="98"/>
      <c r="G45" s="98"/>
      <c r="H45" s="10"/>
      <c r="I45" s="39"/>
      <c r="J45" s="39"/>
      <c r="K45" s="39"/>
      <c r="L45" s="148"/>
      <c r="M45" s="148"/>
      <c r="N45" s="40"/>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row>
    <row r="46" spans="1:60" ht="20.25">
      <c r="A46" s="240"/>
      <c r="C46" s="355" t="s">
        <v>264</v>
      </c>
      <c r="D46" s="356"/>
      <c r="E46" s="356"/>
      <c r="F46" s="356"/>
      <c r="G46" s="356"/>
      <c r="H46" s="356"/>
      <c r="I46" s="356"/>
      <c r="J46" s="356"/>
      <c r="K46" s="356"/>
      <c r="L46" s="356"/>
      <c r="M46" s="356"/>
      <c r="N46" s="357"/>
      <c r="O46" s="234"/>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row>
    <row r="47" spans="3:60" ht="24" customHeight="1">
      <c r="C47" s="66"/>
      <c r="D47" s="354" t="str">
        <f>IF($AC$188="",$AC$139,IF(AND($C$24=$AB$180,$AC$103&lt;&gt;""),$AC$103,IF(LEFT($O$48,4)="None",VLOOKUP($O$48,$AC$149:$AE$155,3,FALSE),IF($AC$188="Indonesia",$AC$371,IF($O$47=$AC$129,IF($O$49&lt;&gt;"",$O$49,$O$47),$O$47)))))</f>
        <v>Please select your country/region of ordinary residence (Section 1).</v>
      </c>
      <c r="E47" s="354"/>
      <c r="F47" s="354"/>
      <c r="G47" s="354"/>
      <c r="H47" s="354"/>
      <c r="I47" s="354"/>
      <c r="J47" s="354"/>
      <c r="K47" s="354"/>
      <c r="L47" s="354"/>
      <c r="M47" s="354"/>
      <c r="N47" s="358"/>
      <c r="O47" s="75">
        <f>IF(C24=$AB$180,$AC$103,IF(OR(O6="?",O14="?",O22="?")=TRUE,O49,IF($X$104&gt;0,$AC$129,IF(AND($X$108="Old",$AC$188&lt;&gt;"Indonesia"),$AC$129,IF(AND($X$108="Mix",$X$109="N/A",$AC$188&lt;&gt;"Indonesia"),$AC$130,IF(AND($X$108="Mix",$X$109="Yes"),$AC$132,IF($X$109="Yes","",$AC$137)))))))</f>
      </c>
      <c r="P47" s="252"/>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row>
    <row r="48" spans="3:60" ht="23.25" customHeight="1">
      <c r="C48" s="66"/>
      <c r="D48" s="354"/>
      <c r="E48" s="354"/>
      <c r="F48" s="354"/>
      <c r="G48" s="354"/>
      <c r="H48" s="354"/>
      <c r="I48" s="354"/>
      <c r="J48" s="354"/>
      <c r="K48" s="354"/>
      <c r="L48" s="354"/>
      <c r="M48" s="354"/>
      <c r="N48" s="358"/>
      <c r="O48" s="76">
        <f>IF($AC$188="","",VLOOKUP($AC$188,$AC$192:$AN$288,$AN$190,FALSE))</f>
      </c>
      <c r="P48" s="252"/>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row>
    <row r="49" spans="3:60" ht="34.5" customHeight="1">
      <c r="C49" s="66"/>
      <c r="D49" s="354"/>
      <c r="E49" s="354"/>
      <c r="F49" s="354"/>
      <c r="G49" s="354"/>
      <c r="H49" s="354"/>
      <c r="I49" s="354"/>
      <c r="J49" s="354"/>
      <c r="K49" s="354"/>
      <c r="L49" s="354"/>
      <c r="M49" s="354"/>
      <c r="N49" s="358"/>
      <c r="O49" s="76">
        <f>IF(AND(B16="?",B19="?",O22="?")=TRUE,AC140,IF(AND(B16="?",B19="?")=TRUE,AC141,IF(AND(B19="?",O22="?")=TRUE,AC142,IF(AND(B16="?",O22="?")=TRUE,AC143,IF(B16="?",AC144,IF(B19="?",AC145,IF(O22="?",AC146,"")))))))</f>
      </c>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row>
    <row r="50" spans="3:60" ht="15">
      <c r="C50" s="66"/>
      <c r="D50" s="354">
        <f>IF(OR(AND($D$47=$O$49,$O$49&lt;&gt;""),$D$47=$AC$137),"",IF(AND($X$109="Yes",OR(O47="",O47=$AC$132)),$AC$134,IF(OR($D$47=$AC$130,$D$47=$AC$131,$X$114&gt;1),CONCATENATE("       ",$Z$101),IF($X$104&gt;0,$Z$101,IF(AND($D$47=$AC$129,$X$114&gt;0),$Z$101,"")))))</f>
      </c>
      <c r="E50" s="354"/>
      <c r="F50" s="354"/>
      <c r="G50" s="354"/>
      <c r="H50" s="354"/>
      <c r="I50" s="354"/>
      <c r="J50" s="354"/>
      <c r="K50" s="354"/>
      <c r="L50" s="354"/>
      <c r="M50" s="354"/>
      <c r="N50" s="358"/>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row>
    <row r="51" spans="1:60" ht="18.75" customHeight="1">
      <c r="A51" s="241"/>
      <c r="C51" s="66"/>
      <c r="D51" s="354">
        <f>IF(OR(D47=$AC$130,D47=$AC$131),$AC$133,IF(AND($X$109="Yes",OR(O47="",O47=$AC$132)),$AE$134,IF($X$104&gt;0,CONCATENATE("       ",$Z$102),"")))</f>
      </c>
      <c r="E51" s="354"/>
      <c r="F51" s="354"/>
      <c r="G51" s="354"/>
      <c r="H51" s="354"/>
      <c r="I51" s="83">
        <f>IF(D51=$AC$133,CONCATENATE($AH$133,"."),IF(D51=$AE$134,$AH$133,""))</f>
      </c>
      <c r="J51" s="84"/>
      <c r="K51" s="85"/>
      <c r="L51" s="82">
        <f>IF(D53=$AC$136,$AK$134,"")</f>
      </c>
      <c r="M51" s="67"/>
      <c r="N51" s="68"/>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row>
    <row r="52" spans="3:60" ht="15.75" customHeight="1">
      <c r="C52" s="66"/>
      <c r="D52" s="354">
        <f>IF(OR(D47=$AC$130,D47=$AC$131,AND($D$47=$O$49,$O$49&lt;&gt;"")),"",IF(AND($X$109="Yes",OR(O47="",O47=$AC$132)),$AC$135,IF($X$104&gt;0,CONCATENATE("       ",$Z$103),"")))</f>
      </c>
      <c r="E52" s="354"/>
      <c r="F52" s="354"/>
      <c r="G52" s="354"/>
      <c r="H52" s="354"/>
      <c r="I52" s="354"/>
      <c r="J52" s="354"/>
      <c r="K52" s="354"/>
      <c r="L52" s="354"/>
      <c r="M52" s="354"/>
      <c r="N52" s="358"/>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row>
    <row r="53" spans="3:60" ht="15" customHeight="1">
      <c r="C53" s="66"/>
      <c r="D53" s="80">
        <f>IF(AND($X$109="Yes",OR(O47="",O47=$AC$132)),$AC$136,"")</f>
      </c>
      <c r="E53" s="80"/>
      <c r="F53" s="80"/>
      <c r="G53" s="80"/>
      <c r="H53" s="83">
        <f>IF(D53=$AC$136,$AH$136,"")</f>
      </c>
      <c r="J53" s="80">
        <f>IF(AND($X$109="Yes",OR(O47="",O47=$AC$132)),$AJ$136,"")</f>
      </c>
      <c r="K53" s="149"/>
      <c r="L53" s="86"/>
      <c r="M53" s="86"/>
      <c r="N53" s="87"/>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row>
    <row r="54" spans="3:60" ht="18" customHeight="1">
      <c r="C54" s="66"/>
      <c r="D54" s="359">
        <f>IF(OR($AC$188="",D50=$AC$134),"",IF(OR($D$47=O49,$D$47=$AC$130,$D$47=$AC$131,$D$47=$AC$137),"",$AC$134))</f>
      </c>
      <c r="E54" s="359"/>
      <c r="F54" s="359"/>
      <c r="G54" s="360">
        <f>IF(D54="","",$AE$134)</f>
      </c>
      <c r="H54" s="360"/>
      <c r="I54" s="361">
        <f>IF(D54="","",$AH$133)</f>
      </c>
      <c r="J54" s="361"/>
      <c r="K54" s="361"/>
      <c r="L54" s="362">
        <f>IF(G54=$AE$134,$AH$134,"")</f>
      </c>
      <c r="M54" s="362"/>
      <c r="N54" s="68"/>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row>
    <row r="55" spans="3:60" ht="15">
      <c r="C55" s="363"/>
      <c r="D55" s="364"/>
      <c r="E55" s="364"/>
      <c r="F55" s="364"/>
      <c r="G55" s="364"/>
      <c r="H55" s="364"/>
      <c r="I55" s="364"/>
      <c r="J55" s="364"/>
      <c r="K55" s="364"/>
      <c r="L55" s="364"/>
      <c r="M55" s="364"/>
      <c r="N55" s="365"/>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row>
    <row r="56" spans="1:60" ht="15">
      <c r="A56" s="240"/>
      <c r="C56" s="366"/>
      <c r="D56" s="367"/>
      <c r="E56" s="367"/>
      <c r="F56" s="367"/>
      <c r="G56" s="367"/>
      <c r="H56" s="367"/>
      <c r="I56" s="367"/>
      <c r="J56" s="367"/>
      <c r="K56" s="367"/>
      <c r="L56" s="367"/>
      <c r="M56" s="367"/>
      <c r="N56" s="368"/>
      <c r="O56" s="234"/>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row>
    <row r="57" spans="3:60" ht="8.25" customHeight="1" thickBot="1">
      <c r="C57" s="150"/>
      <c r="D57" s="150"/>
      <c r="E57" s="150"/>
      <c r="F57" s="150"/>
      <c r="G57" s="150"/>
      <c r="H57" s="150"/>
      <c r="I57" s="150"/>
      <c r="J57" s="150"/>
      <c r="K57" s="150"/>
      <c r="L57" s="150"/>
      <c r="M57" s="150"/>
      <c r="N57" s="150"/>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row>
    <row r="58" spans="3:60" ht="15.75" thickBot="1">
      <c r="C58" s="57" t="str">
        <f>CONCATENATE(IF($X$109="Yes","Claim for Reduced Withholding Tax Rate ","FORM IR586 - Claim for Tax Treaty Exemption "),CHAR(40),"for services rendered by Non-Resident Professionals",CHAR(41))</f>
        <v>FORM IR586 - Claim for Tax Treaty Exemption (for services rendered by Non-Resident Professionals)</v>
      </c>
      <c r="D58" s="49"/>
      <c r="E58" s="49"/>
      <c r="F58" s="49"/>
      <c r="G58" s="49"/>
      <c r="H58" s="49"/>
      <c r="I58" s="49"/>
      <c r="J58" s="49"/>
      <c r="K58" s="49"/>
      <c r="L58" s="49"/>
      <c r="M58" s="49"/>
      <c r="N58" s="58"/>
      <c r="O58" s="235" t="str">
        <f>IF(AND($D$47&lt;&gt;$AC$130,$D$47&lt;&gt;$AC$131,$D$47&lt;&gt;$AC$137),"Disappear","")</f>
        <v>Disappear</v>
      </c>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row>
    <row r="59" spans="3:60" ht="16.5" customHeight="1">
      <c r="C59" s="151"/>
      <c r="D59" s="152" t="s">
        <v>172</v>
      </c>
      <c r="E59" s="153"/>
      <c r="F59" s="153"/>
      <c r="G59" s="153"/>
      <c r="H59" s="153"/>
      <c r="I59" s="153"/>
      <c r="J59" s="153"/>
      <c r="K59" s="153"/>
      <c r="L59" s="153"/>
      <c r="M59" s="153"/>
      <c r="N59" s="154"/>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1"/>
    </row>
    <row r="60" spans="3:60" ht="15" hidden="1">
      <c r="C60" s="155"/>
      <c r="D60" s="156" t="s">
        <v>32</v>
      </c>
      <c r="E60" s="157"/>
      <c r="F60" s="157"/>
      <c r="G60" s="157"/>
      <c r="H60" s="157"/>
      <c r="I60" s="157"/>
      <c r="J60" s="157"/>
      <c r="K60" s="157"/>
      <c r="L60" s="157"/>
      <c r="M60" s="157"/>
      <c r="N60" s="158"/>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1"/>
    </row>
    <row r="61" spans="3:60" ht="18" customHeight="1">
      <c r="C61" s="159"/>
      <c r="D61" s="160" t="s">
        <v>33</v>
      </c>
      <c r="E61" s="161"/>
      <c r="F61" s="161"/>
      <c r="G61" s="161"/>
      <c r="H61" s="161"/>
      <c r="I61" s="162"/>
      <c r="J61" s="162"/>
      <c r="K61" s="162"/>
      <c r="L61" s="162"/>
      <c r="M61" s="162"/>
      <c r="N61" s="163"/>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row>
    <row r="62" spans="3:60" ht="16.5" customHeight="1">
      <c r="C62" s="159"/>
      <c r="D62" s="164" t="s">
        <v>254</v>
      </c>
      <c r="E62" s="165"/>
      <c r="F62" s="166"/>
      <c r="G62" s="370"/>
      <c r="H62" s="370"/>
      <c r="I62" s="370"/>
      <c r="J62" s="370"/>
      <c r="K62" s="326" t="s">
        <v>34</v>
      </c>
      <c r="L62" s="326"/>
      <c r="M62" s="167"/>
      <c r="N62" s="163"/>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row>
    <row r="63" spans="3:60" ht="16.5" customHeight="1">
      <c r="C63" s="159"/>
      <c r="D63" s="168" t="s">
        <v>35</v>
      </c>
      <c r="E63" s="169"/>
      <c r="F63" s="170"/>
      <c r="G63" s="369"/>
      <c r="H63" s="369"/>
      <c r="I63" s="327"/>
      <c r="J63" s="327"/>
      <c r="K63" s="324" t="s">
        <v>344</v>
      </c>
      <c r="L63" s="324"/>
      <c r="M63" s="171"/>
      <c r="N63" s="163"/>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row>
    <row r="64" spans="3:60" ht="16.5" customHeight="1">
      <c r="C64" s="159"/>
      <c r="D64" s="168" t="s">
        <v>36</v>
      </c>
      <c r="E64" s="169"/>
      <c r="F64" s="325"/>
      <c r="G64" s="325"/>
      <c r="H64" s="325"/>
      <c r="I64" s="325"/>
      <c r="J64" s="325"/>
      <c r="K64" s="325"/>
      <c r="L64" s="325"/>
      <c r="M64" s="325"/>
      <c r="N64" s="163"/>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row>
    <row r="65" spans="2:60" ht="16.5" customHeight="1" hidden="1">
      <c r="B65" s="60"/>
      <c r="C65" s="159"/>
      <c r="D65" s="172"/>
      <c r="E65" s="53"/>
      <c r="F65" s="371"/>
      <c r="G65" s="371"/>
      <c r="H65" s="371"/>
      <c r="I65" s="371"/>
      <c r="J65" s="371"/>
      <c r="K65" s="371"/>
      <c r="L65" s="371"/>
      <c r="M65" s="371"/>
      <c r="N65" s="163"/>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row>
    <row r="66" spans="3:60" ht="16.5" customHeight="1">
      <c r="C66" s="159"/>
      <c r="D66" s="173" t="s">
        <v>37</v>
      </c>
      <c r="E66" s="174"/>
      <c r="F66" s="246"/>
      <c r="G66" s="391">
        <f>IF(VLOOKUP($AC$188,$AC$192:$AP$288,$AP$190,FALSE)="","",VLOOKUP($AC$188,$AC$192:$AP$288,$AP$190,FALSE))</f>
      </c>
      <c r="H66" s="391"/>
      <c r="I66" s="173" t="s">
        <v>38</v>
      </c>
      <c r="J66" s="325"/>
      <c r="K66" s="325"/>
      <c r="L66" s="325"/>
      <c r="M66" s="325"/>
      <c r="N66" s="163"/>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row>
    <row r="67" spans="3:60" ht="8.25" customHeight="1">
      <c r="C67" s="159"/>
      <c r="D67" s="175"/>
      <c r="E67" s="176"/>
      <c r="F67" s="176"/>
      <c r="G67" s="77"/>
      <c r="H67" s="78"/>
      <c r="I67" s="177"/>
      <c r="J67" s="177"/>
      <c r="K67" s="177"/>
      <c r="L67" s="178"/>
      <c r="M67" s="179"/>
      <c r="N67" s="163"/>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51"/>
      <c r="BH67" s="251"/>
    </row>
    <row r="68" spans="3:60" ht="17.25">
      <c r="C68" s="159"/>
      <c r="D68" s="160" t="s">
        <v>39</v>
      </c>
      <c r="E68" s="180"/>
      <c r="F68" s="180"/>
      <c r="G68" s="181"/>
      <c r="H68" s="182"/>
      <c r="I68" s="183"/>
      <c r="J68" s="183"/>
      <c r="K68" s="183"/>
      <c r="L68" s="183"/>
      <c r="M68" s="184"/>
      <c r="N68" s="163"/>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51"/>
      <c r="BH68" s="251"/>
    </row>
    <row r="69" spans="3:60" ht="8.25" customHeight="1">
      <c r="C69" s="159"/>
      <c r="D69" s="172"/>
      <c r="E69" s="185"/>
      <c r="F69" s="185"/>
      <c r="G69" s="185"/>
      <c r="H69" s="185"/>
      <c r="I69" s="172"/>
      <c r="J69" s="172"/>
      <c r="K69" s="172"/>
      <c r="L69" s="183"/>
      <c r="M69" s="184"/>
      <c r="N69" s="163"/>
      <c r="P69" s="251"/>
      <c r="Q69" s="251"/>
      <c r="R69" s="251"/>
      <c r="S69" s="251"/>
      <c r="T69" s="251"/>
      <c r="U69" s="251"/>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row>
    <row r="70" spans="3:71" ht="16.5">
      <c r="C70" s="159"/>
      <c r="D70" s="372" t="s">
        <v>299</v>
      </c>
      <c r="E70" s="373"/>
      <c r="F70" s="373"/>
      <c r="G70" s="374"/>
      <c r="H70" s="378" t="s">
        <v>181</v>
      </c>
      <c r="I70" s="380" t="s">
        <v>249</v>
      </c>
      <c r="J70" s="381"/>
      <c r="K70" s="381"/>
      <c r="L70" s="382"/>
      <c r="M70" s="378" t="s">
        <v>41</v>
      </c>
      <c r="N70" s="163"/>
      <c r="P70" s="251" t="s">
        <v>170</v>
      </c>
      <c r="Q70" s="251"/>
      <c r="R70" s="251" t="s">
        <v>169</v>
      </c>
      <c r="S70" s="251"/>
      <c r="T70" s="251"/>
      <c r="U70" s="251"/>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44"/>
      <c r="BJ70" s="35"/>
      <c r="BK70" s="35"/>
      <c r="BL70" s="35"/>
      <c r="BM70" s="35"/>
      <c r="BN70" s="35"/>
      <c r="BO70" s="35"/>
      <c r="BP70" s="35"/>
      <c r="BQ70" s="35"/>
      <c r="BR70" s="35"/>
      <c r="BS70" s="35"/>
    </row>
    <row r="71" spans="3:60" ht="16.5">
      <c r="C71" s="159"/>
      <c r="D71" s="375"/>
      <c r="E71" s="376"/>
      <c r="F71" s="376"/>
      <c r="G71" s="377"/>
      <c r="H71" s="379"/>
      <c r="I71" s="380" t="s">
        <v>247</v>
      </c>
      <c r="J71" s="382"/>
      <c r="K71" s="380" t="s">
        <v>248</v>
      </c>
      <c r="L71" s="382"/>
      <c r="M71" s="379"/>
      <c r="N71" s="163"/>
      <c r="P71" s="273" t="s">
        <v>9</v>
      </c>
      <c r="Q71" s="253" t="s">
        <v>10</v>
      </c>
      <c r="R71" s="253" t="s">
        <v>9</v>
      </c>
      <c r="S71" s="253" t="s">
        <v>10</v>
      </c>
      <c r="T71" s="273" t="s">
        <v>171</v>
      </c>
      <c r="U71" s="251"/>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row>
    <row r="72" spans="3:60" ht="17.25">
      <c r="C72" s="159"/>
      <c r="D72" s="385"/>
      <c r="E72" s="386"/>
      <c r="F72" s="386"/>
      <c r="G72" s="387"/>
      <c r="H72" s="186"/>
      <c r="I72" s="383">
        <f>P72</f>
      </c>
      <c r="J72" s="384"/>
      <c r="K72" s="383">
        <f>IF(OR($C$24=$AB$180,$AC$188="United Kingdom"),IF(S72="",Q72,S72),Q72)</f>
      </c>
      <c r="L72" s="384"/>
      <c r="M72" s="187"/>
      <c r="N72" s="163"/>
      <c r="P72" s="274">
        <f aca="true" t="shared" si="13" ref="P72:Q76">IF(G32="","",G32)</f>
      </c>
      <c r="Q72" s="274">
        <f t="shared" si="13"/>
      </c>
      <c r="R72" s="260">
        <f>IF(YEAR(G32)=YEAR(H32),"",DATE(YEAR(H32),1,1))</f>
      </c>
      <c r="S72" s="260">
        <f>IF(YEAR(G32)=YEAR(H32),"",DATE(YEAR(G32),12,31))</f>
      </c>
      <c r="T72" s="253">
        <v>0</v>
      </c>
      <c r="U72" s="251"/>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row>
    <row r="73" spans="3:60" ht="17.25">
      <c r="C73" s="159"/>
      <c r="D73" s="388"/>
      <c r="E73" s="389"/>
      <c r="F73" s="389"/>
      <c r="G73" s="390"/>
      <c r="H73" s="188"/>
      <c r="I73" s="383">
        <f>IF(OR($C$24=$AB$180,$AC$188="United Kingdom"),IF(R72="",P73,R72),P73)</f>
      </c>
      <c r="J73" s="384"/>
      <c r="K73" s="383">
        <f>IF(OR($C$24=$AB$180,$AC$188="United Kingdom"),IF($T72&gt;0,Q72,IF(AND(S72="",S73=""),Q73,IF(S72="",S73,Q72))),Q73)</f>
      </c>
      <c r="L73" s="384"/>
      <c r="M73" s="187"/>
      <c r="N73" s="163"/>
      <c r="P73" s="274">
        <f t="shared" si="13"/>
      </c>
      <c r="Q73" s="274">
        <f t="shared" si="13"/>
      </c>
      <c r="R73" s="260">
        <f>IF(YEAR(G33)=YEAR(H33),"",DATE(YEAR(H33),1,1))</f>
      </c>
      <c r="S73" s="260">
        <f>IF(YEAR(G33)=YEAR(H33),"",DATE(YEAR(G33),12,31))</f>
      </c>
      <c r="T73" s="253">
        <f>COUNTA($R$72:R72)-COUNTIF($R$72:R72,"")</f>
        <v>0</v>
      </c>
      <c r="U73" s="251"/>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row>
    <row r="74" spans="2:60" ht="17.25">
      <c r="B74"/>
      <c r="C74" s="159"/>
      <c r="D74" s="388"/>
      <c r="E74" s="389"/>
      <c r="F74" s="389"/>
      <c r="G74" s="390"/>
      <c r="H74" s="188"/>
      <c r="I74" s="383">
        <f>IF(OR($C$24=$AB$180,$AC$188="United Kingdom"),IF($T73&gt;0,P73,IF(R73="",P74,R73)),P74)</f>
      </c>
      <c r="J74" s="384"/>
      <c r="K74" s="383">
        <f>IF(OR($C$24=$AB$180,$AC$188="United Kingdom"),IF($T73&gt;0,Q73,IF(AND(S73="",S74=""),Q74,IF(S73="",S74,Q73))),Q74)</f>
      </c>
      <c r="L74" s="384"/>
      <c r="M74" s="187"/>
      <c r="N74" s="163"/>
      <c r="P74" s="274">
        <f t="shared" si="13"/>
      </c>
      <c r="Q74" s="274">
        <f t="shared" si="13"/>
      </c>
      <c r="R74" s="260">
        <f>IF(YEAR(G34)=YEAR(H34),"",DATE(YEAR(H34),1,1))</f>
      </c>
      <c r="S74" s="260">
        <f>IF(YEAR(G34)=YEAR(H34),"",DATE(YEAR(G34),12,31))</f>
      </c>
      <c r="T74" s="253">
        <f>COUNTA($R$72:R73)-COUNTIF($R$72:R73,"")</f>
        <v>0</v>
      </c>
      <c r="U74" s="251"/>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row>
    <row r="75" spans="2:60" ht="17.25">
      <c r="B75"/>
      <c r="C75" s="159"/>
      <c r="D75" s="388"/>
      <c r="E75" s="389"/>
      <c r="F75" s="389"/>
      <c r="G75" s="390"/>
      <c r="H75" s="188"/>
      <c r="I75" s="383">
        <f>IF(OR($C$24=$AB$180,$AC$188="United Kingdom"),IF($T74&gt;0,P74,IF(R74="",P75,R74)),P75)</f>
      </c>
      <c r="J75" s="384"/>
      <c r="K75" s="383">
        <f>IF(OR($C$24=$AB$180,$AC$188="United Kingdom"),IF($T74&gt;0,Q74,IF(AND(S74="",S75=""),Q75,IF(S74="",S75,Q74))),Q75)</f>
      </c>
      <c r="L75" s="384"/>
      <c r="M75" s="187"/>
      <c r="N75" s="163"/>
      <c r="P75" s="274">
        <f t="shared" si="13"/>
      </c>
      <c r="Q75" s="274">
        <f t="shared" si="13"/>
      </c>
      <c r="R75" s="260">
        <f>IF(YEAR(G35)=YEAR(H35),"",DATE(YEAR(H35),1,1))</f>
      </c>
      <c r="S75" s="260">
        <f>IF(YEAR(G35)=YEAR(H35),"",DATE(YEAR(G35),12,31))</f>
      </c>
      <c r="T75" s="253">
        <f>COUNTA($R$72:R74)-COUNTIF($R$72:R74,"")</f>
        <v>0</v>
      </c>
      <c r="U75" s="251"/>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row>
    <row r="76" spans="2:60" ht="17.25">
      <c r="B76"/>
      <c r="C76" s="159"/>
      <c r="D76" s="399"/>
      <c r="E76" s="400"/>
      <c r="F76" s="400"/>
      <c r="G76" s="401"/>
      <c r="H76" s="189"/>
      <c r="I76" s="383">
        <f>IF(OR($C$24=$AB$180,$AC$188="United Kingdom"),IF($T75&gt;0,P75,IF(R75="",P76,R75)),P76)</f>
      </c>
      <c r="J76" s="384"/>
      <c r="K76" s="383">
        <f>IF(OR($C$24=$AB$180,$AC$188="United Kingdom"),IF($T75&gt;0,Q75,IF(AND(S75="",S76=""),Q76,IF(S75="",S76,Q75))),Q76)</f>
      </c>
      <c r="L76" s="384"/>
      <c r="M76" s="187"/>
      <c r="N76" s="163"/>
      <c r="P76" s="274">
        <f t="shared" si="13"/>
      </c>
      <c r="Q76" s="274">
        <f t="shared" si="13"/>
      </c>
      <c r="R76" s="260">
        <f>IF(YEAR(G36)=YEAR(H36),"",DATE(YEAR(H36),1,1))</f>
      </c>
      <c r="S76" s="260">
        <f>IF(YEAR(G36)=YEAR(H36),"",DATE(YEAR(G36),12,31))</f>
      </c>
      <c r="T76" s="253">
        <f>COUNTA($R$72:R75)-COUNTIF($R$72:R75,"")</f>
        <v>0</v>
      </c>
      <c r="U76" s="251"/>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row>
    <row r="77" spans="2:60" ht="15" hidden="1">
      <c r="B77"/>
      <c r="C77" s="159"/>
      <c r="D77" s="433"/>
      <c r="E77" s="434"/>
      <c r="F77" s="434"/>
      <c r="G77" s="435"/>
      <c r="H77" s="190"/>
      <c r="I77" s="383">
        <f>IF(OR($C$24=$AB$180,$AC$188="United Kingdom"),IF($T76&gt;0,P76,IF(R76="",P77,R76)),P77)</f>
      </c>
      <c r="J77" s="384"/>
      <c r="K77" s="383">
        <f>IF(OR($C$24=$AB$180,$AC$188="United Kingdom"),IF($T76&gt;0,Q76,IF(AND(S76="",S77=""),Q77,IF(S76="",S77,Q76))),Q77)</f>
      </c>
      <c r="L77" s="384"/>
      <c r="M77" s="191"/>
      <c r="N77" s="163"/>
      <c r="P77" s="274">
        <f>""</f>
      </c>
      <c r="Q77" s="274">
        <f>""</f>
      </c>
      <c r="R77" s="274">
        <f>""</f>
      </c>
      <c r="S77" s="274">
        <f>""</f>
      </c>
      <c r="T77" s="253">
        <f>COUNTA($R$72:R76)-COUNTIF($R$72:R76,"")</f>
        <v>0</v>
      </c>
      <c r="U77" s="251"/>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row>
    <row r="78" spans="2:60" ht="8.25" customHeight="1">
      <c r="B78"/>
      <c r="C78" s="159"/>
      <c r="D78" s="172"/>
      <c r="E78" s="185"/>
      <c r="F78" s="185"/>
      <c r="G78" s="185"/>
      <c r="H78" s="185"/>
      <c r="I78" s="172"/>
      <c r="J78" s="172"/>
      <c r="K78" s="172"/>
      <c r="L78" s="183"/>
      <c r="M78" s="184"/>
      <c r="N78" s="163"/>
      <c r="P78" s="251"/>
      <c r="Q78" s="251"/>
      <c r="R78" s="251"/>
      <c r="S78" s="264"/>
      <c r="T78" s="251"/>
      <c r="U78" s="251"/>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row>
    <row r="79" spans="2:60" ht="17.25">
      <c r="B79"/>
      <c r="C79" s="159"/>
      <c r="D79" s="172" t="s">
        <v>40</v>
      </c>
      <c r="E79" s="397">
        <f>IF(G62="","",PROPER(G62))</f>
      </c>
      <c r="F79" s="397"/>
      <c r="G79" s="397"/>
      <c r="H79" s="397"/>
      <c r="I79" s="172" t="s">
        <v>166</v>
      </c>
      <c r="J79" s="172"/>
      <c r="K79" s="172"/>
      <c r="L79" s="183"/>
      <c r="M79" s="184"/>
      <c r="N79" s="163"/>
      <c r="P79" s="251"/>
      <c r="Q79" s="251"/>
      <c r="R79" s="251"/>
      <c r="S79" s="251"/>
      <c r="T79" s="251"/>
      <c r="U79" s="251"/>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row>
    <row r="80" spans="2:60" ht="17.25">
      <c r="B80"/>
      <c r="C80" s="159"/>
      <c r="D80" s="398" t="s">
        <v>162</v>
      </c>
      <c r="E80" s="398"/>
      <c r="F80" s="398"/>
      <c r="G80" s="398"/>
      <c r="H80" s="398"/>
      <c r="I80" s="398"/>
      <c r="J80" s="398"/>
      <c r="K80" s="398"/>
      <c r="L80" s="398"/>
      <c r="M80" s="398"/>
      <c r="N80" s="163"/>
      <c r="P80" s="273"/>
      <c r="Q80" s="253"/>
      <c r="R80" s="251"/>
      <c r="S80" s="251"/>
      <c r="T80" s="251"/>
      <c r="U80" s="251"/>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row>
    <row r="81" spans="2:60" ht="8.25" customHeight="1">
      <c r="B81"/>
      <c r="C81" s="159"/>
      <c r="D81" s="192"/>
      <c r="E81" s="176"/>
      <c r="F81" s="176"/>
      <c r="G81" s="77"/>
      <c r="H81" s="78"/>
      <c r="I81" s="178"/>
      <c r="J81" s="178"/>
      <c r="K81" s="178"/>
      <c r="L81" s="178"/>
      <c r="M81" s="179"/>
      <c r="N81" s="163"/>
      <c r="P81" s="274"/>
      <c r="Q81" s="274"/>
      <c r="R81" s="251"/>
      <c r="S81" s="251"/>
      <c r="T81" s="251"/>
      <c r="U81" s="251"/>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row>
    <row r="82" spans="2:60" ht="16.5">
      <c r="B82"/>
      <c r="C82" s="193"/>
      <c r="D82" s="194" t="s">
        <v>42</v>
      </c>
      <c r="E82" s="195"/>
      <c r="F82" s="195"/>
      <c r="G82" s="196"/>
      <c r="H82" s="392" t="s">
        <v>43</v>
      </c>
      <c r="I82" s="393"/>
      <c r="J82" s="394"/>
      <c r="K82" s="395" t="s">
        <v>44</v>
      </c>
      <c r="L82" s="396"/>
      <c r="M82" s="197" t="s">
        <v>45</v>
      </c>
      <c r="N82" s="198"/>
      <c r="P82" s="274"/>
      <c r="Q82" s="274"/>
      <c r="R82" s="251"/>
      <c r="S82" s="251"/>
      <c r="T82" s="251"/>
      <c r="U82" s="251"/>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row>
    <row r="83" spans="2:60" ht="15" customHeight="1" hidden="1">
      <c r="B83"/>
      <c r="C83" s="424">
        <f>IF(G62="","",PROPER(G62))</f>
      </c>
      <c r="D83" s="425"/>
      <c r="E83" s="425"/>
      <c r="F83" s="425"/>
      <c r="G83" s="426"/>
      <c r="H83" s="402"/>
      <c r="I83" s="403"/>
      <c r="J83" s="404"/>
      <c r="K83" s="411"/>
      <c r="L83" s="412"/>
      <c r="M83" s="418"/>
      <c r="N83" s="419"/>
      <c r="P83" s="274"/>
      <c r="Q83" s="274"/>
      <c r="R83" s="251"/>
      <c r="S83" s="251"/>
      <c r="T83" s="251"/>
      <c r="U83" s="251"/>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row>
    <row r="84" spans="2:60" ht="15" customHeight="1">
      <c r="B84"/>
      <c r="C84" s="427"/>
      <c r="D84" s="428"/>
      <c r="E84" s="428"/>
      <c r="F84" s="428"/>
      <c r="G84" s="429"/>
      <c r="H84" s="405"/>
      <c r="I84" s="406"/>
      <c r="J84" s="407"/>
      <c r="K84" s="413"/>
      <c r="L84" s="414"/>
      <c r="M84" s="420"/>
      <c r="N84" s="421"/>
      <c r="P84" s="274"/>
      <c r="Q84" s="274"/>
      <c r="R84" s="251"/>
      <c r="S84" s="251"/>
      <c r="T84" s="251"/>
      <c r="U84" s="251"/>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row>
    <row r="85" spans="2:60" ht="15.75" customHeight="1" thickBot="1">
      <c r="B85"/>
      <c r="C85" s="430"/>
      <c r="D85" s="431"/>
      <c r="E85" s="431"/>
      <c r="F85" s="431"/>
      <c r="G85" s="432"/>
      <c r="H85" s="408"/>
      <c r="I85" s="409"/>
      <c r="J85" s="410"/>
      <c r="K85" s="415"/>
      <c r="L85" s="416"/>
      <c r="M85" s="422"/>
      <c r="N85" s="423"/>
      <c r="P85" s="274"/>
      <c r="Q85" s="274"/>
      <c r="R85" s="251"/>
      <c r="S85" s="251"/>
      <c r="T85" s="251"/>
      <c r="U85" s="251"/>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row>
    <row r="86" spans="2:60" ht="8.25" customHeight="1">
      <c r="B86"/>
      <c r="C86" s="199"/>
      <c r="D86" s="199"/>
      <c r="E86" s="199"/>
      <c r="F86" s="199"/>
      <c r="G86" s="199"/>
      <c r="H86" s="199"/>
      <c r="I86" s="199"/>
      <c r="J86" s="199"/>
      <c r="K86" s="199"/>
      <c r="L86" s="199"/>
      <c r="M86" s="199"/>
      <c r="N86" s="199"/>
      <c r="P86" s="274"/>
      <c r="Q86" s="274"/>
      <c r="R86" s="251"/>
      <c r="S86" s="251"/>
      <c r="T86" s="251"/>
      <c r="U86" s="251"/>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row>
    <row r="87" spans="2:60" ht="15">
      <c r="B87"/>
      <c r="C87" s="417" t="s">
        <v>46</v>
      </c>
      <c r="D87" s="417"/>
      <c r="E87" s="417"/>
      <c r="F87" s="417"/>
      <c r="G87" s="417"/>
      <c r="H87" s="417"/>
      <c r="I87" s="417"/>
      <c r="J87" s="417"/>
      <c r="K87" s="417"/>
      <c r="L87" s="417"/>
      <c r="M87" s="417"/>
      <c r="N87" s="417"/>
      <c r="P87" s="251"/>
      <c r="Q87" s="251"/>
      <c r="R87" s="251"/>
      <c r="S87" s="251"/>
      <c r="T87" s="251"/>
      <c r="U87" s="251"/>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row>
    <row r="88" spans="2:60" ht="16.5">
      <c r="B88"/>
      <c r="C88" s="436" t="s">
        <v>50</v>
      </c>
      <c r="D88" s="436"/>
      <c r="E88" s="436"/>
      <c r="F88" s="436"/>
      <c r="G88" s="436"/>
      <c r="H88" s="436"/>
      <c r="I88" s="436"/>
      <c r="J88" s="436"/>
      <c r="K88" s="436"/>
      <c r="L88" s="436"/>
      <c r="M88" s="436"/>
      <c r="N88" s="436"/>
      <c r="P88" s="251"/>
      <c r="Q88" s="251"/>
      <c r="R88" s="251"/>
      <c r="S88" s="251"/>
      <c r="T88" s="251"/>
      <c r="U88" s="251"/>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row>
    <row r="89" spans="2:60" ht="16.5" customHeight="1">
      <c r="B89"/>
      <c r="C89" s="200" t="s">
        <v>52</v>
      </c>
      <c r="D89" s="201" t="s">
        <v>165</v>
      </c>
      <c r="E89" s="202"/>
      <c r="F89" s="202"/>
      <c r="G89" s="202"/>
      <c r="H89" s="202"/>
      <c r="I89" s="202"/>
      <c r="J89" s="202"/>
      <c r="K89" s="202"/>
      <c r="L89" s="202"/>
      <c r="M89" s="202"/>
      <c r="N89" s="90"/>
      <c r="P89" s="251"/>
      <c r="Q89" s="251"/>
      <c r="R89" s="251"/>
      <c r="S89" s="251"/>
      <c r="T89" s="251"/>
      <c r="U89" s="251"/>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row>
    <row r="90" spans="2:60" ht="16.5" customHeight="1">
      <c r="B90"/>
      <c r="C90" s="200" t="s">
        <v>54</v>
      </c>
      <c r="D90" s="437" t="s">
        <v>255</v>
      </c>
      <c r="E90" s="437"/>
      <c r="F90" s="437"/>
      <c r="G90" s="437"/>
      <c r="H90" s="437"/>
      <c r="I90" s="437"/>
      <c r="J90" s="437"/>
      <c r="K90" s="437"/>
      <c r="L90" s="437"/>
      <c r="M90" s="437"/>
      <c r="N90" s="437"/>
      <c r="P90" s="251"/>
      <c r="Q90" s="251"/>
      <c r="R90" s="251"/>
      <c r="S90" s="251"/>
      <c r="T90" s="251"/>
      <c r="U90" s="251"/>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row>
    <row r="91" spans="2:60" ht="16.5" customHeight="1">
      <c r="B91"/>
      <c r="C91" s="200"/>
      <c r="D91" s="437"/>
      <c r="E91" s="437"/>
      <c r="F91" s="437"/>
      <c r="G91" s="437"/>
      <c r="H91" s="437"/>
      <c r="I91" s="437"/>
      <c r="J91" s="437"/>
      <c r="K91" s="437"/>
      <c r="L91" s="437"/>
      <c r="M91" s="437"/>
      <c r="N91" s="437"/>
      <c r="P91" s="251"/>
      <c r="Q91" s="251"/>
      <c r="R91" s="251"/>
      <c r="S91" s="251"/>
      <c r="T91" s="251"/>
      <c r="U91" s="251"/>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row>
    <row r="92" spans="2:60" ht="16.5" customHeight="1">
      <c r="B92"/>
      <c r="C92" s="203" t="s">
        <v>57</v>
      </c>
      <c r="D92" s="204" t="str">
        <f>CONCATENATE("The NRP has to print and give a copy of this completed Form ",IF(H53="","IR586 ",""),"to the payer to support his claim for tax treaty exemption.")</f>
        <v>The NRP has to print and give a copy of this completed Form IR586 to the payer to support his claim for tax treaty exemption.</v>
      </c>
      <c r="E92" s="205"/>
      <c r="F92" s="206"/>
      <c r="G92" s="204"/>
      <c r="H92" s="204"/>
      <c r="I92" s="207"/>
      <c r="J92" s="204"/>
      <c r="K92" s="208"/>
      <c r="L92" s="209"/>
      <c r="M92" s="210"/>
      <c r="N92" s="90"/>
      <c r="P92" s="251"/>
      <c r="Q92" s="251"/>
      <c r="R92" s="251"/>
      <c r="S92" s="251"/>
      <c r="T92" s="251"/>
      <c r="U92" s="251"/>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row>
    <row r="93" spans="2:60" ht="16.5" customHeight="1">
      <c r="B93"/>
      <c r="C93" s="211" t="s">
        <v>235</v>
      </c>
      <c r="D93" s="212" t="s">
        <v>234</v>
      </c>
      <c r="E93" s="213"/>
      <c r="F93" s="214"/>
      <c r="G93" s="215"/>
      <c r="H93" s="213"/>
      <c r="I93" s="214"/>
      <c r="L93" s="230" t="s">
        <v>269</v>
      </c>
      <c r="M93" s="231"/>
      <c r="N93" s="127"/>
      <c r="P93" s="251"/>
      <c r="Q93" s="251"/>
      <c r="R93" s="251"/>
      <c r="S93" s="251"/>
      <c r="T93" s="251"/>
      <c r="U93" s="251"/>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row>
    <row r="94" spans="2:60" ht="21" customHeight="1">
      <c r="B94"/>
      <c r="C94" s="217"/>
      <c r="D94" s="212" t="str">
        <f>CONCATENATE("This Form ",IF(H53="","IR586 ",""),"need not be submitted to IRAS unless it is requested for verification.")</f>
        <v>This Form IR586 need not be submitted to IRAS unless it is requested for verification.</v>
      </c>
      <c r="E94" s="213"/>
      <c r="F94" s="214"/>
      <c r="G94" s="215"/>
      <c r="H94" s="213"/>
      <c r="I94" s="214"/>
      <c r="J94" s="218"/>
      <c r="K94" s="216"/>
      <c r="L94" s="127"/>
      <c r="M94" s="127"/>
      <c r="N94" s="127"/>
      <c r="P94" s="251"/>
      <c r="Q94" s="251"/>
      <c r="R94" s="251"/>
      <c r="S94" s="251"/>
      <c r="T94" s="251"/>
      <c r="U94" s="251"/>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row>
    <row r="95" spans="2:60" ht="15">
      <c r="B95"/>
      <c r="C95" s="438" t="s">
        <v>58</v>
      </c>
      <c r="D95" s="438"/>
      <c r="E95" s="438"/>
      <c r="F95" s="438"/>
      <c r="G95" s="438"/>
      <c r="H95" s="438"/>
      <c r="I95" s="438"/>
      <c r="J95" s="438"/>
      <c r="K95" s="438"/>
      <c r="L95" s="438"/>
      <c r="M95" s="438"/>
      <c r="N95" s="438"/>
      <c r="P95" s="251"/>
      <c r="Q95" s="251"/>
      <c r="R95" s="251"/>
      <c r="S95" s="251"/>
      <c r="T95" s="251"/>
      <c r="U95" s="251"/>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row>
    <row r="96" spans="2:60" ht="15">
      <c r="B96"/>
      <c r="C96" s="441" t="s">
        <v>323</v>
      </c>
      <c r="D96" s="441"/>
      <c r="E96" s="441"/>
      <c r="F96" s="441"/>
      <c r="G96" s="441"/>
      <c r="H96" s="441"/>
      <c r="I96" s="441"/>
      <c r="J96" s="441"/>
      <c r="K96" s="441"/>
      <c r="L96" s="441"/>
      <c r="M96" s="441"/>
      <c r="N96" s="441"/>
      <c r="P96" s="251"/>
      <c r="Q96" s="251"/>
      <c r="R96" s="251"/>
      <c r="S96" s="251"/>
      <c r="T96" s="251"/>
      <c r="U96" s="251"/>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row>
    <row r="97" spans="2:60" ht="16.5">
      <c r="B97"/>
      <c r="P97" s="251"/>
      <c r="Q97" s="251"/>
      <c r="R97" s="251"/>
      <c r="S97" s="251"/>
      <c r="T97" s="251"/>
      <c r="U97" s="251"/>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row>
    <row r="98" spans="3:60" ht="15">
      <c r="C98" s="219"/>
      <c r="D98" s="219"/>
      <c r="E98" s="219"/>
      <c r="F98" s="219"/>
      <c r="G98" s="219"/>
      <c r="H98" s="219"/>
      <c r="I98" s="219"/>
      <c r="J98" s="219"/>
      <c r="K98" s="219"/>
      <c r="L98" s="219"/>
      <c r="M98" s="219"/>
      <c r="N98" s="219"/>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row>
    <row r="99" spans="5:60" ht="16.5">
      <c r="E99" s="220"/>
      <c r="F99" s="220"/>
      <c r="G99" s="220"/>
      <c r="H99" s="27"/>
      <c r="I99" s="28"/>
      <c r="J99" s="28"/>
      <c r="K99" s="28"/>
      <c r="L99" s="29"/>
      <c r="M99" s="29"/>
      <c r="N99" s="30"/>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row>
    <row r="100" spans="5:60" ht="16.5">
      <c r="E100" s="92"/>
      <c r="F100" s="92"/>
      <c r="G100" s="41"/>
      <c r="H100" s="41"/>
      <c r="I100" s="92"/>
      <c r="J100" s="92"/>
      <c r="K100" s="92"/>
      <c r="L100" s="92"/>
      <c r="M100" s="92"/>
      <c r="N100" s="30"/>
      <c r="P100" s="251"/>
      <c r="Q100" s="251"/>
      <c r="R100" s="251"/>
      <c r="S100" s="251"/>
      <c r="T100" s="251"/>
      <c r="U100" s="251"/>
      <c r="V100" s="251"/>
      <c r="W100" s="251"/>
      <c r="X100" s="275" t="s">
        <v>47</v>
      </c>
      <c r="Y100" s="251"/>
      <c r="Z100" s="275" t="s">
        <v>48</v>
      </c>
      <c r="AA100" s="251"/>
      <c r="AB100" s="251"/>
      <c r="AC100" s="275" t="s">
        <v>49</v>
      </c>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row>
    <row r="101" spans="5:60" ht="16.5">
      <c r="E101" s="92"/>
      <c r="F101" s="92"/>
      <c r="G101" s="41"/>
      <c r="H101" s="41"/>
      <c r="I101" s="92"/>
      <c r="J101" s="92"/>
      <c r="K101" s="92"/>
      <c r="L101" s="92"/>
      <c r="M101" s="92"/>
      <c r="N101" s="30"/>
      <c r="P101" s="251"/>
      <c r="Q101" s="251"/>
      <c r="R101" s="251"/>
      <c r="S101" s="251"/>
      <c r="T101" s="251"/>
      <c r="U101" s="251"/>
      <c r="V101" s="251"/>
      <c r="W101" s="255" t="s">
        <v>285</v>
      </c>
      <c r="X101" s="251">
        <f>IF(AND(D16="&gt;&gt;",B16="Taxable")=TRUE,$AC$120,"")</f>
      </c>
      <c r="Y101" s="255" t="s">
        <v>287</v>
      </c>
      <c r="Z101" s="251">
        <f>IF($X$114=0,"",IF(AND(OR($X$108="Old",$X$108="Mix"),$AA$108&lt;&gt;""),$AA$108,IF($X$103&lt;&gt;"",$X$103,IF($X$101&lt;&gt;"",$X$101,$X$102))))</f>
      </c>
      <c r="AA101" s="251"/>
      <c r="AB101" s="251"/>
      <c r="AC101" s="273"/>
      <c r="AD101" s="253"/>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row>
    <row r="102" spans="5:60" ht="16.5">
      <c r="E102" s="41"/>
      <c r="F102" s="41"/>
      <c r="G102" s="41"/>
      <c r="H102" s="41"/>
      <c r="I102" s="41"/>
      <c r="J102" s="41"/>
      <c r="K102" s="41"/>
      <c r="L102" s="41"/>
      <c r="M102" s="41"/>
      <c r="N102" s="30"/>
      <c r="P102" s="251"/>
      <c r="Q102" s="251"/>
      <c r="R102" s="251"/>
      <c r="S102" s="251"/>
      <c r="T102" s="251"/>
      <c r="U102" s="251"/>
      <c r="V102" s="251"/>
      <c r="W102" s="255" t="s">
        <v>286</v>
      </c>
      <c r="X102" s="251">
        <f>IF(AND(D19="&gt;&gt;",B19="Taxable")=TRUE,$AC$121,"")</f>
      </c>
      <c r="Y102" s="255" t="s">
        <v>51</v>
      </c>
      <c r="Z102" s="251">
        <f>IF($X$114&lt;3,"",IF(AND($X$101&lt;&gt;"",$X$101&lt;&gt;$Z$101,$X$101&lt;&gt;$Z$103),$X$101,IF(AND($X$102&lt;&gt;"",$X$102&lt;&gt;$Z$101,$X$102&lt;&gt;$Z$103),$X$102,"")))</f>
      </c>
      <c r="AA102" s="251"/>
      <c r="AB102" s="251"/>
      <c r="AC102" s="273"/>
      <c r="AD102" s="253"/>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row>
    <row r="103" spans="5:60" ht="16.5">
      <c r="E103" s="92"/>
      <c r="F103" s="92"/>
      <c r="G103" s="92"/>
      <c r="H103" s="92"/>
      <c r="I103" s="92"/>
      <c r="J103" s="92"/>
      <c r="K103" s="92"/>
      <c r="L103" s="92"/>
      <c r="M103" s="92"/>
      <c r="N103" s="30"/>
      <c r="P103" s="251"/>
      <c r="Q103" s="251"/>
      <c r="R103" s="251"/>
      <c r="S103" s="251"/>
      <c r="T103" s="251"/>
      <c r="U103" s="251"/>
      <c r="V103" s="251"/>
      <c r="W103" s="255" t="s">
        <v>290</v>
      </c>
      <c r="X103" s="251">
        <f>IF(AND($AC$188="Indonesia",$X$108="Old"),"",IF(OR(I44="Taxable",L44="Taxable")=TRUE,$AC$122,IF($AC$123&lt;&gt;"",$AC$123,"")))</f>
      </c>
      <c r="Y103" s="255" t="s">
        <v>53</v>
      </c>
      <c r="Z103" s="251">
        <f>IF($X$114&lt;2,"",IF(AND($X$103&lt;&gt;"",$X$103&lt;&gt;$Z$101),$X$103,IF(AND($X$101&lt;&gt;"",$X$101&lt;&gt;$Z$101),$X$101,IF(AND($X$102&lt;&gt;"",$X$102&lt;&gt;$Z$101),$X$102,""))))</f>
      </c>
      <c r="AA103" s="251"/>
      <c r="AB103" s="276" t="s">
        <v>55</v>
      </c>
      <c r="AC103" s="273">
        <f>IF(C24=AB180,VLOOKUP($AG$292,$AK$292:$AM$318,2,FALSE),"")</f>
      </c>
      <c r="AD103" s="253"/>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row>
    <row r="104" spans="5:60" ht="16.5">
      <c r="E104" s="41"/>
      <c r="F104" s="41"/>
      <c r="G104" s="41"/>
      <c r="H104" s="41"/>
      <c r="I104" s="41"/>
      <c r="J104" s="41"/>
      <c r="K104" s="41"/>
      <c r="L104" s="41"/>
      <c r="M104" s="41"/>
      <c r="N104" s="30"/>
      <c r="P104" s="251"/>
      <c r="Q104" s="251"/>
      <c r="R104" s="251"/>
      <c r="S104" s="251"/>
      <c r="T104" s="251"/>
      <c r="U104" s="251"/>
      <c r="V104" s="251"/>
      <c r="W104" s="276" t="s">
        <v>56</v>
      </c>
      <c r="X104" s="253">
        <f>COUNTA(X101:X103)-COUNTIF(X101:X103,"")</f>
        <v>0</v>
      </c>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row>
    <row r="105" spans="2:60" ht="16.5">
      <c r="B105"/>
      <c r="P105" s="251"/>
      <c r="Q105" s="251"/>
      <c r="R105" s="251"/>
      <c r="S105" s="251"/>
      <c r="T105" s="251"/>
      <c r="U105" s="251"/>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row>
    <row r="106" spans="2:60" ht="15">
      <c r="B106"/>
      <c r="C106" s="219"/>
      <c r="D106" s="219"/>
      <c r="E106" s="219"/>
      <c r="F106" s="219"/>
      <c r="G106" s="219"/>
      <c r="H106" s="219"/>
      <c r="I106" s="219"/>
      <c r="J106" s="219"/>
      <c r="K106" s="219"/>
      <c r="L106" s="219"/>
      <c r="M106" s="219"/>
      <c r="N106" s="219"/>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row>
    <row r="107" spans="3:60" ht="33" customHeight="1">
      <c r="C107" s="219"/>
      <c r="D107" s="221"/>
      <c r="E107" s="221"/>
      <c r="F107" s="221"/>
      <c r="G107" s="221"/>
      <c r="H107" s="219"/>
      <c r="I107" s="219"/>
      <c r="J107" s="219"/>
      <c r="K107" s="219"/>
      <c r="L107" s="219"/>
      <c r="M107" s="219"/>
      <c r="N107" s="219"/>
      <c r="P107" s="251"/>
      <c r="Q107" s="251"/>
      <c r="R107" s="251"/>
      <c r="S107" s="251"/>
      <c r="T107" s="251"/>
      <c r="U107" s="251"/>
      <c r="V107" s="251"/>
      <c r="W107" s="251"/>
      <c r="X107" s="275" t="s">
        <v>280</v>
      </c>
      <c r="Y107" s="251"/>
      <c r="Z107" s="251"/>
      <c r="AA107" s="275" t="s">
        <v>282</v>
      </c>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row>
    <row r="108" spans="3:60" ht="15">
      <c r="C108" s="219"/>
      <c r="D108" s="219"/>
      <c r="E108" s="219"/>
      <c r="F108" s="219"/>
      <c r="G108" s="219"/>
      <c r="H108" s="219"/>
      <c r="I108" s="219"/>
      <c r="J108" s="219"/>
      <c r="K108" s="219"/>
      <c r="L108" s="219"/>
      <c r="M108" s="219"/>
      <c r="N108" s="219"/>
      <c r="P108" s="251"/>
      <c r="Q108" s="251"/>
      <c r="R108" s="251"/>
      <c r="S108" s="251"/>
      <c r="T108" s="251"/>
      <c r="U108" s="251"/>
      <c r="V108" s="251"/>
      <c r="W108" s="255" t="s">
        <v>281</v>
      </c>
      <c r="X108" s="253">
        <f>IF($AB$365="","",IF($AB$365&gt;=VLOOKUP($AC$188,$AC$192:$AQ$288,$AO$190,FALSE),"New",IF(AND($AB$365&lt;VLOOKUP($AC$188,$AC$192:$AQ$288,$AO$190,FALSE),$AB$366&gt;=VLOOKUP($AC$188,$AC$192:$AQ$288,$AO$190,FALSE)),"Mix","Old")))</f>
      </c>
      <c r="Y108" s="251"/>
      <c r="Z108" s="255" t="s">
        <v>289</v>
      </c>
      <c r="AA108" s="251">
        <f>IF(OR($X$108="",$X$108="New",AND($AC$188="Indonesia",AC374="Exempt")),"",IF(AC186="&lt;placeholder&gt;","- Your income is borne/paid by a Singapore entity.",IF(AND($AC$188="Indonesia",AC374="Taxable"),AC372,CONCATENATE("- The effective date of the tax treaty between Singapore and ",$AC$188," is from ",TEXT(VLOOKUP($AC$188,$AC$192:$AQ$288,$AO$190,FALSE),"D Mmm YYYY"),"."))))</f>
      </c>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row>
    <row r="109" spans="3:60" ht="15">
      <c r="C109" s="219"/>
      <c r="D109" s="219"/>
      <c r="E109" s="219"/>
      <c r="F109" s="219"/>
      <c r="G109" s="219"/>
      <c r="H109" s="219"/>
      <c r="I109" s="219"/>
      <c r="J109" s="219"/>
      <c r="K109" s="219"/>
      <c r="L109" s="219"/>
      <c r="M109" s="219"/>
      <c r="N109" s="219"/>
      <c r="P109" s="251"/>
      <c r="Q109" s="251"/>
      <c r="R109" s="251"/>
      <c r="S109" s="251"/>
      <c r="T109" s="251"/>
      <c r="U109" s="251"/>
      <c r="V109" s="251"/>
      <c r="W109" s="255" t="s">
        <v>288</v>
      </c>
      <c r="X109" s="253" t="str">
        <f>IF(VLOOKUP($AC$188,$AC$192:$AP$288,AL190,FALSE)="","N/A",IF($X$104=0,"Yes","No"))</f>
        <v>N/A</v>
      </c>
      <c r="Y109" s="275"/>
      <c r="Z109" s="276" t="s">
        <v>284</v>
      </c>
      <c r="AA109" s="253">
        <f>COUNTA(AA108:AA108)-COUNTIF(AA108:AA108,"")</f>
        <v>0</v>
      </c>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row>
    <row r="110" spans="3:60" ht="16.5">
      <c r="C110" s="219"/>
      <c r="D110" s="222"/>
      <c r="E110" s="222"/>
      <c r="F110" s="222"/>
      <c r="G110" s="222"/>
      <c r="H110" s="222"/>
      <c r="I110" s="222"/>
      <c r="J110" s="222"/>
      <c r="K110" s="222"/>
      <c r="L110" s="222"/>
      <c r="M110" s="222"/>
      <c r="N110" s="219"/>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251"/>
      <c r="BH110" s="251"/>
    </row>
    <row r="111" spans="3:60" ht="15">
      <c r="C111" s="219"/>
      <c r="D111" s="219"/>
      <c r="E111" s="219"/>
      <c r="F111" s="219"/>
      <c r="G111" s="219"/>
      <c r="H111" s="219"/>
      <c r="I111" s="219"/>
      <c r="J111" s="219"/>
      <c r="K111" s="219"/>
      <c r="L111" s="219"/>
      <c r="M111" s="219"/>
      <c r="N111" s="219"/>
      <c r="P111" s="251"/>
      <c r="Q111" s="251"/>
      <c r="R111" s="251"/>
      <c r="S111" s="251"/>
      <c r="T111" s="251"/>
      <c r="U111" s="251"/>
      <c r="V111" s="251"/>
      <c r="W111" s="251"/>
      <c r="X111" s="251"/>
      <c r="Y111" s="251"/>
      <c r="Z111" s="251"/>
      <c r="AA111" s="251"/>
      <c r="AB111" s="251"/>
      <c r="AC111" s="251" t="s">
        <v>326</v>
      </c>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1"/>
      <c r="AZ111" s="251"/>
      <c r="BA111" s="251"/>
      <c r="BB111" s="251"/>
      <c r="BC111" s="251"/>
      <c r="BD111" s="251"/>
      <c r="BE111" s="251"/>
      <c r="BF111" s="251"/>
      <c r="BG111" s="251"/>
      <c r="BH111" s="251"/>
    </row>
    <row r="112" spans="3:60" ht="15">
      <c r="C112" s="219"/>
      <c r="D112" s="219"/>
      <c r="E112" s="219"/>
      <c r="F112" s="219"/>
      <c r="G112" s="219"/>
      <c r="H112" s="219"/>
      <c r="I112" s="219"/>
      <c r="J112" s="219"/>
      <c r="K112" s="219"/>
      <c r="L112" s="219"/>
      <c r="M112" s="219"/>
      <c r="N112" s="219"/>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c r="BA112" s="251"/>
      <c r="BB112" s="251"/>
      <c r="BC112" s="251"/>
      <c r="BD112" s="251"/>
      <c r="BE112" s="251"/>
      <c r="BF112" s="251"/>
      <c r="BG112" s="251"/>
      <c r="BH112" s="251"/>
    </row>
    <row r="113" spans="5:60" ht="16.5">
      <c r="E113" s="41"/>
      <c r="F113" s="41"/>
      <c r="G113" s="41"/>
      <c r="H113" s="41"/>
      <c r="I113" s="41"/>
      <c r="J113" s="41"/>
      <c r="K113" s="41"/>
      <c r="L113" s="41"/>
      <c r="M113" s="41"/>
      <c r="N113" s="30"/>
      <c r="P113" s="251"/>
      <c r="Q113" s="251"/>
      <c r="R113" s="251"/>
      <c r="S113" s="251"/>
      <c r="T113" s="251"/>
      <c r="U113" s="251"/>
      <c r="V113" s="251"/>
      <c r="W113" s="255"/>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row>
    <row r="114" spans="5:60" ht="16.5">
      <c r="E114" s="41"/>
      <c r="F114" s="41"/>
      <c r="G114" s="41"/>
      <c r="H114" s="41"/>
      <c r="I114" s="41"/>
      <c r="J114" s="41"/>
      <c r="K114" s="41"/>
      <c r="L114" s="41"/>
      <c r="M114" s="41"/>
      <c r="N114" s="30"/>
      <c r="P114" s="251"/>
      <c r="Q114" s="251"/>
      <c r="R114" s="251"/>
      <c r="S114" s="251"/>
      <c r="T114" s="251"/>
      <c r="U114" s="251"/>
      <c r="V114" s="251"/>
      <c r="W114" s="276" t="s">
        <v>283</v>
      </c>
      <c r="X114" s="253">
        <f>X104+AA109</f>
        <v>0</v>
      </c>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row>
    <row r="115" spans="5:60" ht="16.5">
      <c r="E115" s="41"/>
      <c r="F115" s="41"/>
      <c r="G115" s="41"/>
      <c r="H115" s="41"/>
      <c r="I115" s="41"/>
      <c r="J115" s="41"/>
      <c r="K115" s="41"/>
      <c r="L115" s="41"/>
      <c r="M115" s="41"/>
      <c r="N115" s="30"/>
      <c r="P115" s="251"/>
      <c r="Q115" s="251"/>
      <c r="R115" s="251"/>
      <c r="S115" s="251"/>
      <c r="T115" s="251"/>
      <c r="U115" s="251"/>
      <c r="V115" s="251"/>
      <c r="W115" s="255"/>
      <c r="X115" s="253"/>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row>
    <row r="116" spans="5:60" ht="16.5">
      <c r="E116" s="41"/>
      <c r="F116" s="41"/>
      <c r="G116" s="41"/>
      <c r="H116" s="41"/>
      <c r="I116" s="41"/>
      <c r="J116" s="41"/>
      <c r="K116" s="41"/>
      <c r="L116" s="41"/>
      <c r="M116" s="41"/>
      <c r="N116" s="30"/>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row>
    <row r="117" spans="5:60" ht="16.5">
      <c r="E117" s="41"/>
      <c r="F117" s="41"/>
      <c r="G117" s="41"/>
      <c r="H117" s="41"/>
      <c r="I117" s="41"/>
      <c r="J117" s="41"/>
      <c r="K117" s="41"/>
      <c r="L117" s="41"/>
      <c r="M117" s="41"/>
      <c r="N117" s="30"/>
      <c r="P117" s="251"/>
      <c r="Q117" s="251"/>
      <c r="R117" s="251"/>
      <c r="S117" s="251"/>
      <c r="T117" s="251"/>
      <c r="U117" s="251"/>
      <c r="V117" s="251"/>
      <c r="W117" s="251"/>
      <c r="X117" s="251"/>
      <c r="Y117" s="251"/>
      <c r="Z117" s="330"/>
      <c r="AA117" s="330"/>
      <c r="AB117" s="277"/>
      <c r="AC117" s="251"/>
      <c r="AD117" s="251"/>
      <c r="AE117" s="251"/>
      <c r="AF117" s="251"/>
      <c r="AG117" s="251"/>
      <c r="AH117" s="251"/>
      <c r="AI117" s="251"/>
      <c r="AJ117" s="251"/>
      <c r="AK117" s="251"/>
      <c r="AL117" s="251"/>
      <c r="AM117" s="251"/>
      <c r="AN117" s="251"/>
      <c r="AO117" s="251"/>
      <c r="AP117" s="251"/>
      <c r="AQ117" s="251"/>
      <c r="AR117" s="251"/>
      <c r="AS117" s="251"/>
      <c r="AT117" s="251"/>
      <c r="AU117" s="251"/>
      <c r="AV117" s="251"/>
      <c r="AW117" s="251"/>
      <c r="AX117" s="251"/>
      <c r="AY117" s="251"/>
      <c r="AZ117" s="251"/>
      <c r="BA117" s="251"/>
      <c r="BB117" s="251"/>
      <c r="BC117" s="251"/>
      <c r="BD117" s="251"/>
      <c r="BE117" s="251"/>
      <c r="BF117" s="251"/>
      <c r="BG117" s="251"/>
      <c r="BH117" s="251"/>
    </row>
    <row r="118" spans="5:60" ht="16.5">
      <c r="E118" s="41"/>
      <c r="F118" s="41"/>
      <c r="G118" s="41"/>
      <c r="H118" s="41"/>
      <c r="I118" s="41"/>
      <c r="J118" s="41"/>
      <c r="K118" s="41"/>
      <c r="L118" s="41"/>
      <c r="M118" s="41"/>
      <c r="N118" s="30"/>
      <c r="P118" s="251"/>
      <c r="Q118" s="251"/>
      <c r="R118" s="251"/>
      <c r="S118" s="251"/>
      <c r="T118" s="251"/>
      <c r="U118" s="251"/>
      <c r="V118" s="251"/>
      <c r="W118" s="251"/>
      <c r="X118" s="251"/>
      <c r="Y118" s="251"/>
      <c r="Z118" s="330"/>
      <c r="AA118" s="330"/>
      <c r="AB118" s="277"/>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51"/>
      <c r="BB118" s="251"/>
      <c r="BC118" s="251"/>
      <c r="BD118" s="251"/>
      <c r="BE118" s="251"/>
      <c r="BF118" s="251"/>
      <c r="BG118" s="251"/>
      <c r="BH118" s="251"/>
    </row>
    <row r="119" spans="2:60" ht="16.5">
      <c r="B119" s="1"/>
      <c r="C119" s="92"/>
      <c r="E119" s="41"/>
      <c r="F119" s="41"/>
      <c r="G119" s="41"/>
      <c r="H119" s="41"/>
      <c r="I119" s="41"/>
      <c r="J119" s="41"/>
      <c r="K119" s="41"/>
      <c r="L119" s="41"/>
      <c r="M119" s="41"/>
      <c r="N119" s="30"/>
      <c r="P119" s="251"/>
      <c r="Q119" s="251"/>
      <c r="R119" s="251"/>
      <c r="S119" s="251"/>
      <c r="T119" s="251"/>
      <c r="U119" s="251"/>
      <c r="V119" s="251"/>
      <c r="W119" s="251"/>
      <c r="X119" s="251"/>
      <c r="Y119" s="251"/>
      <c r="Z119" s="251" t="s">
        <v>59</v>
      </c>
      <c r="AA119" s="251"/>
      <c r="AB119" s="251"/>
      <c r="AC119" s="278"/>
      <c r="AD119" s="251"/>
      <c r="AE119" s="251"/>
      <c r="AF119" s="251"/>
      <c r="AG119" s="251"/>
      <c r="AH119" s="251"/>
      <c r="AI119" s="251"/>
      <c r="AJ119" s="251"/>
      <c r="AK119" s="251"/>
      <c r="AL119" s="251"/>
      <c r="AM119" s="251"/>
      <c r="AN119" s="251"/>
      <c r="AO119" s="251"/>
      <c r="AP119" s="251"/>
      <c r="AQ119" s="251"/>
      <c r="AR119" s="251"/>
      <c r="AS119" s="251"/>
      <c r="AT119" s="251"/>
      <c r="AU119" s="251"/>
      <c r="AV119" s="251"/>
      <c r="AW119" s="251"/>
      <c r="AX119" s="251"/>
      <c r="AY119" s="251"/>
      <c r="AZ119" s="251"/>
      <c r="BA119" s="251"/>
      <c r="BB119" s="251"/>
      <c r="BC119" s="251"/>
      <c r="BD119" s="251"/>
      <c r="BE119" s="251"/>
      <c r="BF119" s="251"/>
      <c r="BG119" s="251"/>
      <c r="BH119" s="251"/>
    </row>
    <row r="120" spans="2:60" ht="16.5">
      <c r="B120" s="1"/>
      <c r="C120" s="92"/>
      <c r="E120" s="41"/>
      <c r="F120" s="41"/>
      <c r="G120" s="41"/>
      <c r="H120" s="41"/>
      <c r="I120" s="41"/>
      <c r="J120" s="41"/>
      <c r="K120" s="41"/>
      <c r="L120" s="41"/>
      <c r="M120" s="41"/>
      <c r="N120" s="30"/>
      <c r="P120" s="251"/>
      <c r="Q120" s="251"/>
      <c r="R120" s="251"/>
      <c r="S120" s="251"/>
      <c r="T120" s="251"/>
      <c r="U120" s="251"/>
      <c r="V120" s="251"/>
      <c r="W120" s="251"/>
      <c r="X120" s="251"/>
      <c r="Y120" s="251"/>
      <c r="Z120" s="330" t="str">
        <f>CONCATENATE(C16,E16)</f>
        <v>a.Do you maintain a fixed base* in Singapore</v>
      </c>
      <c r="AA120" s="330"/>
      <c r="AB120" s="279" t="s">
        <v>60</v>
      </c>
      <c r="AC120" s="278" t="s">
        <v>277</v>
      </c>
      <c r="AD120" s="251"/>
      <c r="AE120" s="251"/>
      <c r="AF120" s="251"/>
      <c r="AG120" s="251"/>
      <c r="AH120" s="251"/>
      <c r="AI120" s="251"/>
      <c r="AJ120" s="251"/>
      <c r="AK120" s="251"/>
      <c r="AL120" s="251"/>
      <c r="AM120" s="251"/>
      <c r="AN120" s="251"/>
      <c r="AO120" s="251"/>
      <c r="AP120" s="251"/>
      <c r="AQ120" s="251"/>
      <c r="AR120" s="251"/>
      <c r="AS120" s="251"/>
      <c r="AT120" s="251"/>
      <c r="AU120" s="251"/>
      <c r="AV120" s="251"/>
      <c r="AW120" s="251"/>
      <c r="AX120" s="251"/>
      <c r="AY120" s="251"/>
      <c r="AZ120" s="251"/>
      <c r="BA120" s="251"/>
      <c r="BB120" s="251"/>
      <c r="BC120" s="251"/>
      <c r="BD120" s="251"/>
      <c r="BE120" s="251"/>
      <c r="BF120" s="251"/>
      <c r="BG120" s="251"/>
      <c r="BH120" s="251"/>
    </row>
    <row r="121" spans="2:60" ht="16.5">
      <c r="B121" s="1"/>
      <c r="C121" s="92"/>
      <c r="E121" s="41"/>
      <c r="F121" s="41"/>
      <c r="G121" s="41"/>
      <c r="H121" s="41"/>
      <c r="I121" s="41"/>
      <c r="J121" s="41"/>
      <c r="K121" s="41"/>
      <c r="L121" s="41"/>
      <c r="M121" s="41"/>
      <c r="N121" s="30"/>
      <c r="P121" s="251"/>
      <c r="Q121" s="251"/>
      <c r="R121" s="251"/>
      <c r="S121" s="251"/>
      <c r="T121" s="251"/>
      <c r="U121" s="251"/>
      <c r="V121" s="251"/>
      <c r="W121" s="251"/>
      <c r="X121" s="251"/>
      <c r="Y121" s="251"/>
      <c r="Z121" s="330">
        <f>CONCATENATE(C19,E19)</f>
      </c>
      <c r="AA121" s="330"/>
      <c r="AB121" s="279" t="s">
        <v>60</v>
      </c>
      <c r="AC121" s="278" t="s">
        <v>278</v>
      </c>
      <c r="AD121" s="251"/>
      <c r="AE121" s="251"/>
      <c r="AF121" s="251"/>
      <c r="AG121" s="251"/>
      <c r="AH121" s="251"/>
      <c r="AI121" s="251"/>
      <c r="AJ121" s="251"/>
      <c r="AK121" s="251"/>
      <c r="AL121" s="251"/>
      <c r="AM121" s="251"/>
      <c r="AN121" s="251"/>
      <c r="AO121" s="251"/>
      <c r="AP121" s="251"/>
      <c r="AQ121" s="251"/>
      <c r="AR121" s="251"/>
      <c r="AS121" s="251"/>
      <c r="AT121" s="251"/>
      <c r="AU121" s="251"/>
      <c r="AV121" s="251"/>
      <c r="AW121" s="251"/>
      <c r="AX121" s="251"/>
      <c r="AY121" s="251"/>
      <c r="AZ121" s="251"/>
      <c r="BA121" s="251"/>
      <c r="BB121" s="251"/>
      <c r="BC121" s="251"/>
      <c r="BD121" s="251"/>
      <c r="BE121" s="251"/>
      <c r="BF121" s="251"/>
      <c r="BG121" s="251"/>
      <c r="BH121" s="251"/>
    </row>
    <row r="122" spans="2:60" ht="16.5">
      <c r="B122" s="1"/>
      <c r="C122" s="92"/>
      <c r="E122" s="41"/>
      <c r="F122" s="41"/>
      <c r="G122" s="41"/>
      <c r="H122" s="41"/>
      <c r="I122" s="41"/>
      <c r="J122" s="41"/>
      <c r="K122" s="41"/>
      <c r="L122" s="41"/>
      <c r="M122" s="41"/>
      <c r="N122" s="30"/>
      <c r="P122" s="251"/>
      <c r="Q122" s="251"/>
      <c r="R122" s="251"/>
      <c r="S122" s="251"/>
      <c r="T122" s="251"/>
      <c r="U122" s="251"/>
      <c r="V122" s="251"/>
      <c r="W122" s="251"/>
      <c r="X122" s="251"/>
      <c r="Y122" s="251"/>
      <c r="Z122" s="330" t="str">
        <f>$D$22</f>
        <v>Section 3</v>
      </c>
      <c r="AA122" s="330"/>
      <c r="AB122" s="279" t="s">
        <v>61</v>
      </c>
      <c r="AC122" s="280" t="e">
        <f>CONCATENATE("- ",AC164,AF164,"in the calendar year",IF(AND(AE293="Yes",I44="Taxable",L44="Taxable")=TRUE,CONCATENATE("s ",U30," and ",V30),IF(L44="Taxable",CONCATENATE(" ",V30),IF(I44="Taxable",CONCATENATE(" ",U30),""))),".")</f>
        <v>#N/A</v>
      </c>
      <c r="AD122" s="251"/>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c r="BA122" s="251"/>
      <c r="BB122" s="251"/>
      <c r="BC122" s="251"/>
      <c r="BD122" s="251"/>
      <c r="BE122" s="251"/>
      <c r="BF122" s="251"/>
      <c r="BG122" s="251"/>
      <c r="BH122" s="251"/>
    </row>
    <row r="123" spans="2:60" ht="16.5">
      <c r="B123" s="1"/>
      <c r="C123" s="92"/>
      <c r="E123" s="41"/>
      <c r="F123" s="41"/>
      <c r="G123" s="41"/>
      <c r="H123" s="41"/>
      <c r="I123" s="41"/>
      <c r="J123" s="41"/>
      <c r="K123" s="41"/>
      <c r="L123" s="41"/>
      <c r="M123" s="41"/>
      <c r="N123" s="30"/>
      <c r="P123" s="251"/>
      <c r="Q123" s="251"/>
      <c r="R123" s="251"/>
      <c r="S123" s="251"/>
      <c r="T123" s="251"/>
      <c r="U123" s="251"/>
      <c r="V123" s="251"/>
      <c r="W123" s="251"/>
      <c r="X123" s="251"/>
      <c r="Y123" s="251"/>
      <c r="Z123" s="330"/>
      <c r="AA123" s="330"/>
      <c r="AB123" s="279" t="s">
        <v>62</v>
      </c>
      <c r="AC123" s="280">
        <f>IF(ISERROR(VLOOKUP("Taxable",$C$32:$D$41,2,FALSE)),"",CONCATENATE("- ",AC164,$AF$164,VLOOKUP(VLOOKUP("Taxable",$C$32:$D$41,2,FALSE),$AJ$32:$AK$41,2,FALSE)))</f>
      </c>
      <c r="AD123" s="251"/>
      <c r="AE123" s="251"/>
      <c r="AF123" s="251"/>
      <c r="AG123" s="251"/>
      <c r="AH123" s="251"/>
      <c r="AI123" s="251"/>
      <c r="AJ123" s="251"/>
      <c r="AK123" s="251"/>
      <c r="AL123" s="251"/>
      <c r="AM123" s="251"/>
      <c r="AN123" s="251"/>
      <c r="AO123" s="251"/>
      <c r="AP123" s="251"/>
      <c r="AQ123" s="251"/>
      <c r="AR123" s="251"/>
      <c r="AS123" s="251"/>
      <c r="AT123" s="251"/>
      <c r="AU123" s="251"/>
      <c r="AV123" s="251"/>
      <c r="AW123" s="251"/>
      <c r="AX123" s="251"/>
      <c r="AY123" s="251"/>
      <c r="AZ123" s="251"/>
      <c r="BA123" s="251"/>
      <c r="BB123" s="251"/>
      <c r="BC123" s="251"/>
      <c r="BD123" s="251"/>
      <c r="BE123" s="251"/>
      <c r="BF123" s="251"/>
      <c r="BG123" s="251"/>
      <c r="BH123" s="251"/>
    </row>
    <row r="124" spans="2:60" ht="16.5">
      <c r="B124" s="1"/>
      <c r="C124" s="92"/>
      <c r="E124" s="41"/>
      <c r="F124" s="41"/>
      <c r="G124" s="223"/>
      <c r="H124" s="223"/>
      <c r="I124" s="41"/>
      <c r="J124" s="41"/>
      <c r="K124" s="41"/>
      <c r="L124" s="41"/>
      <c r="M124" s="41"/>
      <c r="N124" s="30"/>
      <c r="P124" s="251"/>
      <c r="Q124" s="251"/>
      <c r="R124" s="251"/>
      <c r="S124" s="251"/>
      <c r="T124" s="251"/>
      <c r="U124" s="251"/>
      <c r="V124" s="251"/>
      <c r="W124" s="251"/>
      <c r="X124" s="251"/>
      <c r="Y124" s="251"/>
      <c r="Z124" s="251"/>
      <c r="AA124" s="255"/>
      <c r="AB124" s="251"/>
      <c r="AC124" s="251"/>
      <c r="AD124" s="251"/>
      <c r="AE124" s="251"/>
      <c r="AF124" s="251"/>
      <c r="AG124" s="251"/>
      <c r="AH124" s="251"/>
      <c r="AI124" s="251"/>
      <c r="AJ124" s="251"/>
      <c r="AK124" s="251"/>
      <c r="AL124" s="251"/>
      <c r="AM124" s="251"/>
      <c r="AN124" s="251"/>
      <c r="AO124" s="251"/>
      <c r="AP124" s="251"/>
      <c r="AQ124" s="251"/>
      <c r="AR124" s="251"/>
      <c r="AS124" s="251"/>
      <c r="AT124" s="251"/>
      <c r="AU124" s="251"/>
      <c r="AV124" s="251"/>
      <c r="AW124" s="251"/>
      <c r="AX124" s="251"/>
      <c r="AY124" s="251"/>
      <c r="AZ124" s="251"/>
      <c r="BA124" s="251"/>
      <c r="BB124" s="251"/>
      <c r="BC124" s="251"/>
      <c r="BD124" s="251"/>
      <c r="BE124" s="251"/>
      <c r="BF124" s="251"/>
      <c r="BG124" s="251"/>
      <c r="BH124" s="251"/>
    </row>
    <row r="125" spans="2:60" ht="16.5">
      <c r="B125" s="1"/>
      <c r="C125" s="92"/>
      <c r="E125" s="41"/>
      <c r="F125" s="41"/>
      <c r="G125" s="223"/>
      <c r="H125" s="223"/>
      <c r="I125" s="41"/>
      <c r="J125" s="41"/>
      <c r="K125" s="41"/>
      <c r="L125" s="41"/>
      <c r="M125" s="41"/>
      <c r="N125" s="30"/>
      <c r="P125" s="251"/>
      <c r="Q125" s="251"/>
      <c r="R125" s="251"/>
      <c r="S125" s="251"/>
      <c r="T125" s="251"/>
      <c r="U125" s="251"/>
      <c r="V125" s="251"/>
      <c r="W125" s="251"/>
      <c r="X125" s="251"/>
      <c r="Y125" s="251"/>
      <c r="Z125" s="251"/>
      <c r="AA125" s="255"/>
      <c r="AB125" s="251"/>
      <c r="AC125" s="251"/>
      <c r="AD125" s="251"/>
      <c r="AE125" s="251"/>
      <c r="AF125" s="251"/>
      <c r="AG125" s="251"/>
      <c r="AH125" s="251"/>
      <c r="AI125" s="251"/>
      <c r="AJ125" s="251"/>
      <c r="AK125" s="251"/>
      <c r="AL125" s="251"/>
      <c r="AM125" s="251"/>
      <c r="AN125" s="251"/>
      <c r="AO125" s="251"/>
      <c r="AP125" s="251"/>
      <c r="AQ125" s="251"/>
      <c r="AR125" s="251"/>
      <c r="AS125" s="251"/>
      <c r="AT125" s="251"/>
      <c r="AU125" s="251"/>
      <c r="AV125" s="251"/>
      <c r="AW125" s="251"/>
      <c r="AX125" s="251"/>
      <c r="AY125" s="251"/>
      <c r="AZ125" s="251"/>
      <c r="BA125" s="251"/>
      <c r="BB125" s="251"/>
      <c r="BC125" s="251"/>
      <c r="BD125" s="251"/>
      <c r="BE125" s="251"/>
      <c r="BF125" s="251"/>
      <c r="BG125" s="251"/>
      <c r="BH125" s="251"/>
    </row>
    <row r="126" spans="2:60" ht="16.5">
      <c r="B126" s="1"/>
      <c r="C126" s="92"/>
      <c r="E126" s="41"/>
      <c r="F126" s="41"/>
      <c r="G126" s="223"/>
      <c r="H126" s="223"/>
      <c r="I126" s="41"/>
      <c r="J126" s="41"/>
      <c r="K126" s="41"/>
      <c r="L126" s="41"/>
      <c r="M126" s="41"/>
      <c r="N126" s="30"/>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row>
    <row r="127" spans="2:60" ht="16.5">
      <c r="B127" s="1"/>
      <c r="C127" s="92"/>
      <c r="E127" s="41"/>
      <c r="F127" s="41"/>
      <c r="G127" s="223"/>
      <c r="H127" s="223"/>
      <c r="I127" s="41"/>
      <c r="J127" s="41"/>
      <c r="K127" s="41"/>
      <c r="L127" s="41"/>
      <c r="M127" s="41"/>
      <c r="N127" s="30"/>
      <c r="P127" s="251"/>
      <c r="Q127" s="251"/>
      <c r="R127" s="251"/>
      <c r="S127" s="251"/>
      <c r="T127" s="251"/>
      <c r="U127" s="251"/>
      <c r="V127" s="251"/>
      <c r="W127" s="251"/>
      <c r="X127" s="251"/>
      <c r="Y127" s="251"/>
      <c r="Z127" s="251"/>
      <c r="AA127" s="251"/>
      <c r="AB127" s="275" t="s">
        <v>63</v>
      </c>
      <c r="AC127" s="251"/>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row>
    <row r="128" spans="2:60" ht="16.5">
      <c r="B128" s="1"/>
      <c r="C128" s="92"/>
      <c r="E128" s="41"/>
      <c r="F128" s="41"/>
      <c r="G128" s="223"/>
      <c r="H128" s="223"/>
      <c r="I128" s="41"/>
      <c r="J128" s="41"/>
      <c r="K128" s="41"/>
      <c r="L128" s="41"/>
      <c r="M128" s="41"/>
      <c r="N128" s="30"/>
      <c r="P128" s="251"/>
      <c r="Q128" s="251"/>
      <c r="R128" s="251"/>
      <c r="S128" s="251"/>
      <c r="T128" s="251"/>
      <c r="U128" s="251"/>
      <c r="V128" s="251"/>
      <c r="W128" s="251"/>
      <c r="X128" s="251"/>
      <c r="Y128" s="251"/>
      <c r="Z128" s="251"/>
      <c r="AA128" s="251"/>
      <c r="AB128" s="275" t="s">
        <v>64</v>
      </c>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1"/>
      <c r="BB128" s="251"/>
      <c r="BC128" s="251"/>
      <c r="BD128" s="251"/>
      <c r="BE128" s="251"/>
      <c r="BF128" s="251"/>
      <c r="BG128" s="251"/>
      <c r="BH128" s="251"/>
    </row>
    <row r="129" spans="2:60" ht="16.5">
      <c r="B129" s="1"/>
      <c r="C129" s="92"/>
      <c r="E129" s="41"/>
      <c r="F129" s="41"/>
      <c r="G129" s="223"/>
      <c r="H129" s="223"/>
      <c r="I129" s="41"/>
      <c r="J129" s="41"/>
      <c r="K129" s="41"/>
      <c r="L129" s="41"/>
      <c r="M129" s="41"/>
      <c r="N129" s="30"/>
      <c r="P129" s="251"/>
      <c r="Q129" s="251"/>
      <c r="R129" s="251"/>
      <c r="S129" s="251"/>
      <c r="T129" s="251"/>
      <c r="U129" s="251"/>
      <c r="V129" s="251"/>
      <c r="W129" s="251"/>
      <c r="X129" s="251"/>
      <c r="Y129" s="251"/>
      <c r="Z129" s="251"/>
      <c r="AA129" s="251"/>
      <c r="AB129" s="251">
        <v>1</v>
      </c>
      <c r="AC129" s="251" t="str">
        <f>CONCATENATE("You do not qualify for ",IF($X$109&lt;&gt;"N/A","reduced withholding tax rate","tax exemption")," under the tax treaty between Singapore and ",$AC$188," for the following reason",IF($X$104&gt;1,"s",""),":")</f>
        <v>You do not qualify for tax exemption under the tax treaty between Singapore and  for the following reason:</v>
      </c>
      <c r="AD129" s="251"/>
      <c r="AE129" s="251"/>
      <c r="AF129" s="251"/>
      <c r="AG129" s="251"/>
      <c r="AH129" s="251"/>
      <c r="AI129" s="251"/>
      <c r="AJ129" s="251"/>
      <c r="AK129" s="251"/>
      <c r="AL129" s="251"/>
      <c r="AM129" s="251"/>
      <c r="AN129" s="251"/>
      <c r="AO129" s="251"/>
      <c r="AP129" s="251"/>
      <c r="AQ129" s="251"/>
      <c r="AR129" s="251"/>
      <c r="AS129" s="251"/>
      <c r="AT129" s="251"/>
      <c r="AU129" s="251"/>
      <c r="AV129" s="251"/>
      <c r="AW129" s="251"/>
      <c r="AX129" s="251"/>
      <c r="AY129" s="251"/>
      <c r="AZ129" s="251"/>
      <c r="BA129" s="251"/>
      <c r="BB129" s="251"/>
      <c r="BC129" s="251"/>
      <c r="BD129" s="251"/>
      <c r="BE129" s="251"/>
      <c r="BF129" s="251"/>
      <c r="BG129" s="251"/>
      <c r="BH129" s="251"/>
    </row>
    <row r="130" spans="2:60" ht="16.5">
      <c r="B130" s="1"/>
      <c r="C130" s="92"/>
      <c r="E130" s="41"/>
      <c r="F130" s="41"/>
      <c r="G130" s="224"/>
      <c r="H130" s="224"/>
      <c r="I130" s="41"/>
      <c r="J130" s="41"/>
      <c r="K130" s="41"/>
      <c r="L130" s="41"/>
      <c r="M130" s="41"/>
      <c r="N130" s="30"/>
      <c r="P130" s="251"/>
      <c r="Q130" s="251"/>
      <c r="R130" s="251"/>
      <c r="S130" s="251"/>
      <c r="T130" s="251"/>
      <c r="U130" s="251"/>
      <c r="V130" s="251"/>
      <c r="W130" s="251"/>
      <c r="X130" s="251"/>
      <c r="Y130" s="251"/>
      <c r="Z130" s="251"/>
      <c r="AA130" s="251"/>
      <c r="AB130" s="251"/>
      <c r="AC130" s="251" t="str">
        <f>IF($AC$188="Switzerland",CONCATENATE("For current visit",CHAR(10),"Tax exemption applies. Please complete Form IR586 below.",CHAR(10),CHAR(10),"Year ",YEAR($G$28),CHAR(10),"Tax exemption does not apply under the tax treaty between Singapore and ",$AC$188," for the following reason",IF($X$104&gt;1,"s",""),":"),CONCATENATE("Year ",YEAR($G$28)+1,":",CHAR(10),"Tax exemption applies. Please complete Form IR586 below.",CHAR(10),CHAR(10),"Year ",YEAR($G$28),":",CHAR(10),"(a) Tax exemption does not apply for the following reason",IF($X$104&gt;1,"s",""),":"))</f>
        <v>Year 2022:
Tax exemption applies. Please complete Form IR586 below.
Year 2021:
(a) Tax exemption does not apply for the following reason:</v>
      </c>
      <c r="AD130" s="251"/>
      <c r="AE130" s="251"/>
      <c r="AF130" s="251"/>
      <c r="AG130" s="251"/>
      <c r="AH130" s="251"/>
      <c r="AI130" s="251"/>
      <c r="AJ130" s="251"/>
      <c r="AK130" s="251"/>
      <c r="AL130" s="251"/>
      <c r="AM130" s="251"/>
      <c r="AN130" s="251"/>
      <c r="AO130" s="251"/>
      <c r="AP130" s="251"/>
      <c r="AQ130" s="251"/>
      <c r="AR130" s="251"/>
      <c r="AS130" s="251"/>
      <c r="AT130" s="251"/>
      <c r="AU130" s="251"/>
      <c r="AV130" s="251"/>
      <c r="AW130" s="251"/>
      <c r="AX130" s="251"/>
      <c r="AY130" s="251"/>
      <c r="AZ130" s="251"/>
      <c r="BA130" s="251"/>
      <c r="BB130" s="251"/>
      <c r="BC130" s="251"/>
      <c r="BD130" s="251"/>
      <c r="BE130" s="251"/>
      <c r="BF130" s="251"/>
      <c r="BG130" s="251"/>
      <c r="BH130" s="251"/>
    </row>
    <row r="131" spans="2:60" ht="16.5">
      <c r="B131" s="1"/>
      <c r="C131" s="92"/>
      <c r="E131" s="41"/>
      <c r="F131" s="41"/>
      <c r="G131" s="224"/>
      <c r="H131" s="224"/>
      <c r="I131" s="41"/>
      <c r="J131" s="41"/>
      <c r="K131" s="41"/>
      <c r="L131" s="41"/>
      <c r="M131" s="41"/>
      <c r="N131" s="30"/>
      <c r="P131" s="251"/>
      <c r="Q131" s="251"/>
      <c r="R131" s="251"/>
      <c r="S131" s="251"/>
      <c r="T131" s="251"/>
      <c r="U131" s="251"/>
      <c r="V131" s="251"/>
      <c r="W131" s="251"/>
      <c r="X131" s="251"/>
      <c r="Y131" s="251"/>
      <c r="Z131" s="251"/>
      <c r="AA131" s="251"/>
      <c r="AB131" s="251"/>
      <c r="AC131" s="251" t="str">
        <f>CONCATENATE("Year ",YEAR($G$28),":",CHAR(10),"Tax exemption applies. Please complete Form IR586 below.",CHAR(10),CHAR(10),"Year ",YEAR($G$28)+1,":",CHAR(10),"(a) Tax exemption does not apply for the following reason",IF($X$104&gt;1,"s",""),":")</f>
        <v>Year 2021:
Tax exemption applies. Please complete Form IR586 below.
Year 2022:
(a) Tax exemption does not apply for the following reason:</v>
      </c>
      <c r="AD131" s="251"/>
      <c r="AE131" s="251"/>
      <c r="AF131" s="251"/>
      <c r="AG131" s="251"/>
      <c r="AH131" s="251"/>
      <c r="AI131" s="251"/>
      <c r="AJ131" s="251"/>
      <c r="AK131" s="251"/>
      <c r="AL131" s="251"/>
      <c r="AM131" s="251"/>
      <c r="AN131" s="251"/>
      <c r="AO131" s="251"/>
      <c r="AP131" s="251"/>
      <c r="AQ131" s="251"/>
      <c r="AR131" s="251"/>
      <c r="AS131" s="251"/>
      <c r="AT131" s="251"/>
      <c r="AU131" s="251"/>
      <c r="AV131" s="251"/>
      <c r="AW131" s="251"/>
      <c r="AX131" s="251"/>
      <c r="AY131" s="251"/>
      <c r="AZ131" s="251"/>
      <c r="BA131" s="251"/>
      <c r="BB131" s="251"/>
      <c r="BC131" s="251"/>
      <c r="BD131" s="251"/>
      <c r="BE131" s="251"/>
      <c r="BF131" s="251"/>
      <c r="BG131" s="251"/>
      <c r="BH131" s="251"/>
    </row>
    <row r="132" spans="2:60" ht="16.5">
      <c r="B132" s="1"/>
      <c r="C132" s="92"/>
      <c r="E132" s="223"/>
      <c r="F132" s="223"/>
      <c r="G132" s="224"/>
      <c r="H132" s="224"/>
      <c r="I132" s="223"/>
      <c r="J132" s="223"/>
      <c r="K132" s="223"/>
      <c r="L132" s="223"/>
      <c r="M132" s="223"/>
      <c r="N132" s="30"/>
      <c r="P132" s="251"/>
      <c r="Q132" s="251"/>
      <c r="R132" s="251"/>
      <c r="S132" s="251"/>
      <c r="T132" s="251"/>
      <c r="U132" s="251"/>
      <c r="V132" s="251"/>
      <c r="W132" s="251"/>
      <c r="X132" s="251"/>
      <c r="Y132" s="251"/>
      <c r="Z132" s="251"/>
      <c r="AA132" s="251"/>
      <c r="AB132" s="251"/>
      <c r="AC132" s="251" t="str">
        <f>CONCATENATE("       Year ",YEAR($G$28),":",CHAR(10),"       Withholding tax applies. You do not qualify for reduced withholding tax rate as the effective date of the tax treaty ",CHAR(10),"       between Singapore and ",$AC$188," is from ",TEXT(VLOOKUP($AC$188,$AC$192:$AQ$288,$AO$190,FALSE),"D Mmm YYYY"),".",CHAR(10),CHAR(10),"       Year ",YEAR($G$28)+1,":")</f>
        <v>       Year 2021:
       Withholding tax applies. You do not qualify for reduced withholding tax rate as the effective date of the tax treaty 
       between Singapore and  is from 0 Jan 1900.
       Year 2022:</v>
      </c>
      <c r="AD132" s="251"/>
      <c r="AE132" s="251"/>
      <c r="AF132" s="251"/>
      <c r="AG132" s="251"/>
      <c r="AH132" s="251"/>
      <c r="AI132" s="251"/>
      <c r="AJ132" s="251"/>
      <c r="AK132" s="251"/>
      <c r="AL132" s="251"/>
      <c r="AM132" s="251"/>
      <c r="AN132" s="251"/>
      <c r="AO132" s="251"/>
      <c r="AP132" s="251"/>
      <c r="AQ132" s="251"/>
      <c r="AR132" s="251"/>
      <c r="AS132" s="251"/>
      <c r="AT132" s="251"/>
      <c r="AU132" s="251"/>
      <c r="AV132" s="251"/>
      <c r="AW132" s="251"/>
      <c r="AX132" s="251"/>
      <c r="AY132" s="251"/>
      <c r="AZ132" s="251"/>
      <c r="BA132" s="251"/>
      <c r="BB132" s="251"/>
      <c r="BC132" s="251"/>
      <c r="BD132" s="251"/>
      <c r="BE132" s="251"/>
      <c r="BF132" s="251"/>
      <c r="BG132" s="251"/>
      <c r="BH132" s="251"/>
    </row>
    <row r="133" spans="2:60" ht="16.5">
      <c r="B133" s="1"/>
      <c r="C133" s="92"/>
      <c r="E133" s="223"/>
      <c r="F133" s="223"/>
      <c r="G133" s="224"/>
      <c r="H133" s="224"/>
      <c r="I133" s="223"/>
      <c r="J133" s="223"/>
      <c r="K133" s="223"/>
      <c r="L133" s="223"/>
      <c r="M133" s="223"/>
      <c r="N133" s="30"/>
      <c r="P133" s="251"/>
      <c r="Q133" s="251"/>
      <c r="R133" s="251"/>
      <c r="S133" s="251"/>
      <c r="T133" s="251"/>
      <c r="U133" s="251"/>
      <c r="V133" s="251"/>
      <c r="W133" s="251"/>
      <c r="X133" s="251"/>
      <c r="Y133" s="251"/>
      <c r="Z133" s="251"/>
      <c r="AA133" s="251"/>
      <c r="AB133" s="251"/>
      <c r="AC133" s="251" t="s">
        <v>298</v>
      </c>
      <c r="AD133" s="251"/>
      <c r="AE133" s="251"/>
      <c r="AF133" s="251"/>
      <c r="AG133" s="251"/>
      <c r="AH133" s="251" t="s">
        <v>297</v>
      </c>
      <c r="AI133" s="251"/>
      <c r="AJ133" s="251"/>
      <c r="AK133" s="251"/>
      <c r="AL133" s="251"/>
      <c r="AM133" s="251"/>
      <c r="AN133" s="251"/>
      <c r="AO133" s="251"/>
      <c r="AP133" s="251"/>
      <c r="AQ133" s="251"/>
      <c r="AR133" s="251"/>
      <c r="AS133" s="251"/>
      <c r="AT133" s="251"/>
      <c r="AU133" s="251"/>
      <c r="AV133" s="251"/>
      <c r="AW133" s="251"/>
      <c r="AX133" s="251"/>
      <c r="AY133" s="251"/>
      <c r="AZ133" s="251"/>
      <c r="BA133" s="251"/>
      <c r="BB133" s="251"/>
      <c r="BC133" s="251"/>
      <c r="BD133" s="251"/>
      <c r="BE133" s="251"/>
      <c r="BF133" s="251"/>
      <c r="BG133" s="251"/>
      <c r="BH133" s="251"/>
    </row>
    <row r="134" spans="2:60" ht="16.5">
      <c r="B134" s="1"/>
      <c r="C134" s="92"/>
      <c r="E134" s="224"/>
      <c r="F134" s="224"/>
      <c r="G134" s="224"/>
      <c r="H134" s="224"/>
      <c r="I134" s="224"/>
      <c r="J134" s="224"/>
      <c r="K134" s="224"/>
      <c r="L134" s="224"/>
      <c r="M134" s="224"/>
      <c r="N134" s="30"/>
      <c r="P134" s="251"/>
      <c r="Q134" s="251"/>
      <c r="R134" s="251"/>
      <c r="S134" s="251"/>
      <c r="T134" s="251"/>
      <c r="U134" s="251"/>
      <c r="V134" s="251"/>
      <c r="W134" s="251"/>
      <c r="X134" s="251"/>
      <c r="Y134" s="251"/>
      <c r="Z134" s="251"/>
      <c r="AA134" s="251"/>
      <c r="AB134" s="251">
        <v>1.1</v>
      </c>
      <c r="AC134" s="251" t="str">
        <f>CONCATENATE(IF(AND($X$109="Yes",OR(O47="",O47=AC132)),CONCATENATE("       Withholding tax applies. To claim for reduced withholding tax rate under Article 13 of the tax treaty with ",$AC$188,","),"Withholding tax applies    -"))</f>
        <v>Withholding tax applies    -</v>
      </c>
      <c r="AD134" s="251"/>
      <c r="AE134" s="251" t="str">
        <f>IF(AND($X$109="Yes",OR(O47="",O47=$AC$132)),"       the payer must pay the Withholding Tax and e-File the ","the payer must e-File the ")</f>
        <v>the payer must e-File the </v>
      </c>
      <c r="AF134" s="251"/>
      <c r="AG134" s="251"/>
      <c r="AH134" s="251" t="s">
        <v>296</v>
      </c>
      <c r="AI134" s="251"/>
      <c r="AJ134" s="251"/>
      <c r="AK134" s="251" t="s">
        <v>279</v>
      </c>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row>
    <row r="135" spans="2:60" ht="16.5">
      <c r="B135" s="1"/>
      <c r="C135" s="92"/>
      <c r="E135" s="224"/>
      <c r="F135" s="224"/>
      <c r="G135" s="225"/>
      <c r="H135" s="225"/>
      <c r="I135" s="224"/>
      <c r="J135" s="224"/>
      <c r="K135" s="224"/>
      <c r="L135" s="224"/>
      <c r="M135" s="224"/>
      <c r="N135" s="30"/>
      <c r="P135" s="251"/>
      <c r="Q135" s="251"/>
      <c r="R135" s="251"/>
      <c r="S135" s="251"/>
      <c r="T135" s="251"/>
      <c r="U135" s="251"/>
      <c r="V135" s="251"/>
      <c r="W135" s="251"/>
      <c r="X135" s="251"/>
      <c r="Y135" s="251"/>
      <c r="Z135" s="251"/>
      <c r="AA135" s="251"/>
      <c r="AB135" s="251">
        <v>1.2</v>
      </c>
      <c r="AC135" s="251" t="s">
        <v>310</v>
      </c>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row>
    <row r="136" spans="5:60" ht="16.5">
      <c r="E136" s="92"/>
      <c r="F136" s="92"/>
      <c r="G136" s="92"/>
      <c r="H136" s="92"/>
      <c r="I136" s="92"/>
      <c r="J136" s="92"/>
      <c r="K136" s="92"/>
      <c r="L136" s="92"/>
      <c r="M136" s="92"/>
      <c r="N136" s="30"/>
      <c r="P136" s="251"/>
      <c r="Q136" s="251"/>
      <c r="R136" s="251"/>
      <c r="S136" s="251"/>
      <c r="T136" s="251"/>
      <c r="U136" s="251"/>
      <c r="V136" s="251"/>
      <c r="W136" s="251"/>
      <c r="X136" s="251"/>
      <c r="Y136" s="251"/>
      <c r="Z136" s="251"/>
      <c r="AA136" s="251"/>
      <c r="AB136" s="251">
        <v>1.2</v>
      </c>
      <c r="AC136" s="251" t="str">
        <f>CONCATENATE("       ",VLOOKUP($AC$188,$AC$192:$AM$288,$AL$190,FALSE)," of the gross amount of income if a")</f>
        <v>        of the gross amount of income if a</v>
      </c>
      <c r="AD136" s="251"/>
      <c r="AE136" s="251"/>
      <c r="AF136" s="251"/>
      <c r="AG136" s="251"/>
      <c r="AH136" s="251" t="s">
        <v>292</v>
      </c>
      <c r="AI136" s="251"/>
      <c r="AJ136" s="251" t="s">
        <v>291</v>
      </c>
      <c r="AK136" s="251"/>
      <c r="AL136" s="251"/>
      <c r="AM136" s="251"/>
      <c r="AN136" s="251"/>
      <c r="AO136" s="251"/>
      <c r="AP136" s="251"/>
      <c r="AQ136" s="251"/>
      <c r="AR136" s="251"/>
      <c r="AS136" s="251"/>
      <c r="AT136" s="251"/>
      <c r="AU136" s="251"/>
      <c r="AV136" s="251"/>
      <c r="AW136" s="251"/>
      <c r="AX136" s="251"/>
      <c r="AY136" s="251"/>
      <c r="AZ136" s="251"/>
      <c r="BA136" s="251"/>
      <c r="BB136" s="251"/>
      <c r="BC136" s="251"/>
      <c r="BD136" s="251"/>
      <c r="BE136" s="251"/>
      <c r="BF136" s="251"/>
      <c r="BG136" s="251"/>
      <c r="BH136" s="251"/>
    </row>
    <row r="137" spans="5:60" ht="16.5">
      <c r="E137" s="92"/>
      <c r="F137" s="92"/>
      <c r="G137" s="92"/>
      <c r="H137" s="92"/>
      <c r="I137" s="92"/>
      <c r="J137" s="92"/>
      <c r="K137" s="92"/>
      <c r="L137" s="92"/>
      <c r="M137" s="92"/>
      <c r="N137" s="30"/>
      <c r="P137" s="251"/>
      <c r="Q137" s="251"/>
      <c r="R137" s="251"/>
      <c r="S137" s="251"/>
      <c r="T137" s="251"/>
      <c r="U137" s="251"/>
      <c r="V137" s="251"/>
      <c r="W137" s="251"/>
      <c r="X137" s="251"/>
      <c r="Y137" s="251"/>
      <c r="Z137" s="251"/>
      <c r="AA137" s="251"/>
      <c r="AB137" s="251">
        <v>2</v>
      </c>
      <c r="AC137" s="251" t="str">
        <f>CONCATENATE("Based on the information furnished, you would qualify for exemption from Singapore income tax under the tax treaty between Singapore and ",VLOOKUP($AC$188,$AC$192:$AP$288,$AP$190,FALSE),". Please complete Form IR586 below.")</f>
        <v>Based on the information furnished, you would qualify for exemption from Singapore income tax under the tax treaty between Singapore and . Please complete Form IR586 below.</v>
      </c>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row>
    <row r="138" spans="5:60" ht="16.5">
      <c r="E138" s="92"/>
      <c r="F138" s="92"/>
      <c r="G138" s="92"/>
      <c r="H138" s="92"/>
      <c r="I138" s="92"/>
      <c r="J138" s="92"/>
      <c r="K138" s="92"/>
      <c r="L138" s="92"/>
      <c r="M138" s="92"/>
      <c r="N138" s="30"/>
      <c r="P138" s="251"/>
      <c r="Q138" s="251"/>
      <c r="R138" s="251"/>
      <c r="S138" s="251"/>
      <c r="T138" s="251"/>
      <c r="U138" s="251"/>
      <c r="V138" s="251"/>
      <c r="W138" s="251"/>
      <c r="X138" s="251"/>
      <c r="Y138" s="251"/>
      <c r="Z138" s="251"/>
      <c r="AA138" s="251"/>
      <c r="AB138" s="251">
        <v>3</v>
      </c>
      <c r="AC138" s="251" t="s">
        <v>66</v>
      </c>
      <c r="AD138" s="251"/>
      <c r="AE138" s="251"/>
      <c r="AF138" s="251"/>
      <c r="AG138" s="251"/>
      <c r="AH138" s="251"/>
      <c r="AI138" s="251"/>
      <c r="AJ138" s="251"/>
      <c r="AK138" s="251"/>
      <c r="AL138" s="251"/>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row>
    <row r="139" spans="5:60" ht="16.5">
      <c r="E139" s="41"/>
      <c r="F139" s="41"/>
      <c r="G139" s="41"/>
      <c r="H139" s="41"/>
      <c r="I139" s="41"/>
      <c r="J139" s="41"/>
      <c r="K139" s="41"/>
      <c r="L139" s="41"/>
      <c r="M139" s="41"/>
      <c r="N139" s="30"/>
      <c r="P139" s="251"/>
      <c r="Q139" s="251"/>
      <c r="R139" s="251"/>
      <c r="S139" s="251"/>
      <c r="T139" s="251"/>
      <c r="U139" s="251"/>
      <c r="V139" s="251"/>
      <c r="W139" s="251"/>
      <c r="X139" s="251"/>
      <c r="Y139" s="251"/>
      <c r="Z139" s="251"/>
      <c r="AA139" s="251"/>
      <c r="AB139" s="251">
        <v>4</v>
      </c>
      <c r="AC139" s="251" t="s">
        <v>314</v>
      </c>
      <c r="AD139" s="251"/>
      <c r="AE139" s="251"/>
      <c r="AF139" s="251"/>
      <c r="AG139" s="251"/>
      <c r="AH139" s="251"/>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row>
    <row r="140" spans="5:60" ht="16.5">
      <c r="E140" s="41"/>
      <c r="F140" s="41"/>
      <c r="G140" s="41"/>
      <c r="H140" s="41"/>
      <c r="I140" s="41"/>
      <c r="J140" s="41"/>
      <c r="K140" s="41"/>
      <c r="L140" s="41"/>
      <c r="M140" s="41"/>
      <c r="N140" s="30"/>
      <c r="P140" s="251"/>
      <c r="Q140" s="251"/>
      <c r="R140" s="251"/>
      <c r="S140" s="251"/>
      <c r="T140" s="251"/>
      <c r="U140" s="251"/>
      <c r="V140" s="251"/>
      <c r="W140" s="251"/>
      <c r="X140" s="251"/>
      <c r="Y140" s="251"/>
      <c r="Z140" s="251"/>
      <c r="AA140" s="251"/>
      <c r="AB140" s="251">
        <v>5.1</v>
      </c>
      <c r="AC140" s="251" t="str">
        <f>AC152</f>
        <v>Please answer questions 2a, 2b and complete section 3.</v>
      </c>
      <c r="AD140" s="251"/>
      <c r="AE140" s="251"/>
      <c r="AF140" s="251"/>
      <c r="AG140" s="251"/>
      <c r="AH140" s="251"/>
      <c r="AI140" s="251"/>
      <c r="AJ140" s="251"/>
      <c r="AK140" s="251"/>
      <c r="AL140" s="251"/>
      <c r="AM140" s="251"/>
      <c r="AN140" s="251"/>
      <c r="AO140" s="251"/>
      <c r="AP140" s="251"/>
      <c r="AQ140" s="251"/>
      <c r="AR140" s="251"/>
      <c r="AS140" s="251"/>
      <c r="AT140" s="251"/>
      <c r="AU140" s="251"/>
      <c r="AV140" s="251"/>
      <c r="AW140" s="251"/>
      <c r="AX140" s="251"/>
      <c r="AY140" s="251"/>
      <c r="AZ140" s="251"/>
      <c r="BA140" s="251"/>
      <c r="BB140" s="251"/>
      <c r="BC140" s="251"/>
      <c r="BD140" s="251"/>
      <c r="BE140" s="251"/>
      <c r="BF140" s="251"/>
      <c r="BG140" s="251"/>
      <c r="BH140" s="251"/>
    </row>
    <row r="141" spans="5:60" ht="16.5">
      <c r="E141" s="41"/>
      <c r="F141" s="41"/>
      <c r="G141" s="41"/>
      <c r="H141" s="41"/>
      <c r="I141" s="41"/>
      <c r="J141" s="41"/>
      <c r="K141" s="41"/>
      <c r="L141" s="41"/>
      <c r="M141" s="41"/>
      <c r="N141" s="30"/>
      <c r="P141" s="251"/>
      <c r="Q141" s="251"/>
      <c r="R141" s="251"/>
      <c r="S141" s="251"/>
      <c r="T141" s="251"/>
      <c r="U141" s="251"/>
      <c r="V141" s="251"/>
      <c r="W141" s="251"/>
      <c r="X141" s="251"/>
      <c r="Y141" s="251"/>
      <c r="Z141" s="251"/>
      <c r="AA141" s="251"/>
      <c r="AB141" s="251">
        <v>5.2</v>
      </c>
      <c r="AC141" s="251" t="str">
        <f>AC161</f>
        <v>Please answer questions 2a and 2b.</v>
      </c>
      <c r="AD141" s="251"/>
      <c r="AE141" s="251"/>
      <c r="AF141" s="251"/>
      <c r="AG141" s="251"/>
      <c r="AH141" s="251"/>
      <c r="AI141" s="251"/>
      <c r="AJ141" s="251"/>
      <c r="AK141" s="251"/>
      <c r="AL141" s="251"/>
      <c r="AM141" s="251"/>
      <c r="AN141" s="251"/>
      <c r="AO141" s="251"/>
      <c r="AP141" s="251"/>
      <c r="AQ141" s="251"/>
      <c r="AR141" s="251"/>
      <c r="AS141" s="251"/>
      <c r="AT141" s="251"/>
      <c r="AU141" s="251"/>
      <c r="AV141" s="251"/>
      <c r="AW141" s="251"/>
      <c r="AX141" s="251"/>
      <c r="AY141" s="251"/>
      <c r="AZ141" s="251"/>
      <c r="BA141" s="251"/>
      <c r="BB141" s="251"/>
      <c r="BC141" s="251"/>
      <c r="BD141" s="251"/>
      <c r="BE141" s="251"/>
      <c r="BF141" s="251"/>
      <c r="BG141" s="251"/>
      <c r="BH141" s="251"/>
    </row>
    <row r="142" spans="5:60" ht="16.5">
      <c r="E142" s="41"/>
      <c r="F142" s="41"/>
      <c r="G142" s="41"/>
      <c r="H142" s="41"/>
      <c r="I142" s="41"/>
      <c r="J142" s="41"/>
      <c r="K142" s="41"/>
      <c r="L142" s="41"/>
      <c r="M142" s="41"/>
      <c r="N142" s="30"/>
      <c r="P142" s="251"/>
      <c r="Q142" s="251"/>
      <c r="R142" s="251"/>
      <c r="S142" s="251"/>
      <c r="T142" s="251"/>
      <c r="U142" s="251"/>
      <c r="V142" s="251"/>
      <c r="W142" s="251"/>
      <c r="X142" s="251"/>
      <c r="Y142" s="251"/>
      <c r="Z142" s="251"/>
      <c r="AA142" s="251"/>
      <c r="AB142" s="251">
        <v>5.3</v>
      </c>
      <c r="AC142" s="251" t="s">
        <v>168</v>
      </c>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row>
    <row r="143" spans="5:60" ht="16.5">
      <c r="E143" s="41"/>
      <c r="F143" s="41"/>
      <c r="G143" s="41"/>
      <c r="H143" s="41"/>
      <c r="I143" s="41"/>
      <c r="J143" s="41"/>
      <c r="K143" s="41"/>
      <c r="L143" s="41"/>
      <c r="M143" s="41"/>
      <c r="N143" s="30"/>
      <c r="P143" s="251"/>
      <c r="Q143" s="251"/>
      <c r="R143" s="251"/>
      <c r="S143" s="251"/>
      <c r="T143" s="251"/>
      <c r="U143" s="251"/>
      <c r="V143" s="251"/>
      <c r="W143" s="251"/>
      <c r="X143" s="251"/>
      <c r="Y143" s="251"/>
      <c r="Z143" s="251"/>
      <c r="AA143" s="251"/>
      <c r="AB143" s="251">
        <v>5.4</v>
      </c>
      <c r="AC143" s="251" t="str">
        <f>AC151</f>
        <v>Please answer question 2a and complete section 3.</v>
      </c>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row>
    <row r="144" spans="5:60" ht="16.5">
      <c r="E144" s="41"/>
      <c r="F144" s="41"/>
      <c r="G144" s="41"/>
      <c r="H144" s="41"/>
      <c r="I144" s="41"/>
      <c r="J144" s="41"/>
      <c r="K144" s="41"/>
      <c r="L144" s="41"/>
      <c r="M144" s="41"/>
      <c r="N144" s="30"/>
      <c r="P144" s="251"/>
      <c r="Q144" s="251"/>
      <c r="R144" s="251"/>
      <c r="S144" s="251"/>
      <c r="T144" s="251"/>
      <c r="U144" s="251"/>
      <c r="V144" s="251"/>
      <c r="W144" s="251"/>
      <c r="X144" s="251"/>
      <c r="Y144" s="251"/>
      <c r="Z144" s="251"/>
      <c r="AA144" s="251"/>
      <c r="AB144" s="251">
        <v>5.5</v>
      </c>
      <c r="AC144" s="251" t="str">
        <f>AC150</f>
        <v>Please answer question 2a.</v>
      </c>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row>
    <row r="145" spans="5:60" ht="16.5">
      <c r="E145" s="41"/>
      <c r="F145" s="41"/>
      <c r="G145" s="41"/>
      <c r="H145" s="41"/>
      <c r="I145" s="41"/>
      <c r="J145" s="41"/>
      <c r="K145" s="41"/>
      <c r="L145" s="41"/>
      <c r="M145" s="41"/>
      <c r="N145" s="30"/>
      <c r="P145" s="251"/>
      <c r="Q145" s="251"/>
      <c r="R145" s="251"/>
      <c r="S145" s="251"/>
      <c r="T145" s="251"/>
      <c r="U145" s="251"/>
      <c r="V145" s="251"/>
      <c r="W145" s="251"/>
      <c r="X145" s="251"/>
      <c r="Y145" s="251"/>
      <c r="Z145" s="251"/>
      <c r="AA145" s="251"/>
      <c r="AB145" s="251">
        <v>5.6</v>
      </c>
      <c r="AC145" s="251" t="s">
        <v>163</v>
      </c>
      <c r="AD145" s="251"/>
      <c r="AE145" s="251"/>
      <c r="AF145" s="251"/>
      <c r="AG145" s="251"/>
      <c r="AH145" s="251"/>
      <c r="AI145" s="251"/>
      <c r="AJ145" s="251"/>
      <c r="AK145" s="251"/>
      <c r="AL145" s="251"/>
      <c r="AM145" s="251"/>
      <c r="AN145" s="251"/>
      <c r="AO145" s="251"/>
      <c r="AP145" s="251"/>
      <c r="AQ145" s="251"/>
      <c r="AR145" s="251"/>
      <c r="AS145" s="251"/>
      <c r="AT145" s="251"/>
      <c r="AU145" s="251"/>
      <c r="AV145" s="251"/>
      <c r="AW145" s="251"/>
      <c r="AX145" s="251"/>
      <c r="AY145" s="251"/>
      <c r="AZ145" s="251"/>
      <c r="BA145" s="251"/>
      <c r="BB145" s="251"/>
      <c r="BC145" s="251"/>
      <c r="BD145" s="251"/>
      <c r="BE145" s="251"/>
      <c r="BF145" s="251"/>
      <c r="BG145" s="251"/>
      <c r="BH145" s="251"/>
    </row>
    <row r="146" spans="5:60" ht="16.5">
      <c r="E146" s="41"/>
      <c r="F146" s="41"/>
      <c r="G146" s="41"/>
      <c r="H146" s="41"/>
      <c r="I146" s="41"/>
      <c r="J146" s="41"/>
      <c r="K146" s="41"/>
      <c r="L146" s="41"/>
      <c r="M146" s="41"/>
      <c r="N146" s="30"/>
      <c r="P146" s="251"/>
      <c r="Q146" s="251"/>
      <c r="R146" s="251"/>
      <c r="S146" s="251"/>
      <c r="T146" s="251"/>
      <c r="U146" s="251"/>
      <c r="V146" s="251"/>
      <c r="W146" s="251"/>
      <c r="X146" s="251"/>
      <c r="Y146" s="251"/>
      <c r="Z146" s="251"/>
      <c r="AA146" s="251"/>
      <c r="AB146" s="251">
        <v>5.7</v>
      </c>
      <c r="AC146" s="251" t="str">
        <f>AC153</f>
        <v>Please complete section 3.</v>
      </c>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51"/>
      <c r="AY146" s="251"/>
      <c r="AZ146" s="251"/>
      <c r="BA146" s="251"/>
      <c r="BB146" s="251"/>
      <c r="BC146" s="251"/>
      <c r="BD146" s="251"/>
      <c r="BE146" s="251"/>
      <c r="BF146" s="251"/>
      <c r="BG146" s="251"/>
      <c r="BH146" s="251"/>
    </row>
    <row r="147" spans="5:60" ht="16.5">
      <c r="E147" s="41"/>
      <c r="F147" s="41"/>
      <c r="G147" s="41"/>
      <c r="H147" s="41"/>
      <c r="I147" s="41"/>
      <c r="J147" s="41"/>
      <c r="K147" s="41"/>
      <c r="L147" s="41"/>
      <c r="M147" s="41"/>
      <c r="N147" s="30"/>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row>
    <row r="148" spans="5:60" ht="16.5">
      <c r="E148" s="41"/>
      <c r="F148" s="41"/>
      <c r="G148" s="41"/>
      <c r="H148" s="41"/>
      <c r="I148" s="41"/>
      <c r="J148" s="41"/>
      <c r="K148" s="41"/>
      <c r="L148" s="41"/>
      <c r="M148" s="41"/>
      <c r="N148" s="30"/>
      <c r="P148" s="251"/>
      <c r="Q148" s="251"/>
      <c r="R148" s="251"/>
      <c r="S148" s="251"/>
      <c r="T148" s="251"/>
      <c r="U148" s="251"/>
      <c r="V148" s="251"/>
      <c r="W148" s="251"/>
      <c r="X148" s="251"/>
      <c r="Y148" s="251"/>
      <c r="Z148" s="251"/>
      <c r="AA148" s="251"/>
      <c r="AB148" s="251"/>
      <c r="AC148" s="251" t="s">
        <v>67</v>
      </c>
      <c r="AD148" s="251" t="s">
        <v>302</v>
      </c>
      <c r="AE148" s="251" t="s">
        <v>64</v>
      </c>
      <c r="AF148" s="251"/>
      <c r="AG148" s="251"/>
      <c r="AH148" s="251"/>
      <c r="AI148" s="251"/>
      <c r="AJ148" s="251"/>
      <c r="AK148" s="251"/>
      <c r="AL148" s="251"/>
      <c r="AM148" s="251"/>
      <c r="AN148" s="251"/>
      <c r="AO148" s="251"/>
      <c r="AP148" s="251"/>
      <c r="AQ148" s="251"/>
      <c r="AR148" s="251"/>
      <c r="AS148" s="251"/>
      <c r="AT148" s="251"/>
      <c r="AU148" s="251"/>
      <c r="AV148" s="251"/>
      <c r="AW148" s="251"/>
      <c r="AX148" s="251"/>
      <c r="AY148" s="251"/>
      <c r="AZ148" s="251"/>
      <c r="BA148" s="251"/>
      <c r="BB148" s="251"/>
      <c r="BC148" s="251"/>
      <c r="BD148" s="251"/>
      <c r="BE148" s="251"/>
      <c r="BF148" s="251"/>
      <c r="BG148" s="251"/>
      <c r="BH148" s="251"/>
    </row>
    <row r="149" spans="5:60" ht="16.5">
      <c r="E149" s="41"/>
      <c r="F149" s="41"/>
      <c r="G149" s="41"/>
      <c r="H149" s="41"/>
      <c r="I149" s="41"/>
      <c r="J149" s="41"/>
      <c r="K149" s="41"/>
      <c r="L149" s="41"/>
      <c r="M149" s="41"/>
      <c r="N149" s="30"/>
      <c r="P149" s="251"/>
      <c r="Q149" s="251"/>
      <c r="R149" s="251"/>
      <c r="S149" s="251"/>
      <c r="T149" s="251"/>
      <c r="U149" s="251"/>
      <c r="V149" s="251"/>
      <c r="W149" s="251"/>
      <c r="X149" s="251"/>
      <c r="Y149" s="251"/>
      <c r="Z149" s="251"/>
      <c r="AA149" s="251"/>
      <c r="AB149" s="251">
        <v>1</v>
      </c>
      <c r="AC149" s="251" t="s">
        <v>179</v>
      </c>
      <c r="AD149" s="251" t="s">
        <v>180</v>
      </c>
      <c r="AE149" s="251" t="str">
        <f>CONCATENATE("You do not qualify for tax exemption under the ",IF($AC$188="Taiwan","agreement ","tax treaty "),"between Singapore and ",VLOOKUP($AC$188,$AC$192:$AP$288,$AP$190,FALSE)," as your income is borne/paid by a Singapore entity.")</f>
        <v>You do not qualify for tax exemption under the tax treaty between Singapore and  as your income is borne/paid by a Singapore entity.</v>
      </c>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row>
    <row r="150" spans="2:60" ht="16.5">
      <c r="B150" s="1"/>
      <c r="C150" s="92"/>
      <c r="E150" s="224"/>
      <c r="F150" s="224"/>
      <c r="I150" s="224"/>
      <c r="J150" s="224"/>
      <c r="K150" s="224"/>
      <c r="L150" s="224"/>
      <c r="M150" s="224"/>
      <c r="N150" s="30"/>
      <c r="P150" s="251"/>
      <c r="Q150" s="251"/>
      <c r="R150" s="251"/>
      <c r="S150" s="251"/>
      <c r="T150" s="251"/>
      <c r="U150" s="251"/>
      <c r="V150" s="251"/>
      <c r="W150" s="251"/>
      <c r="X150" s="251"/>
      <c r="Y150" s="251"/>
      <c r="Z150" s="251"/>
      <c r="AA150" s="251"/>
      <c r="AB150" s="251">
        <v>2</v>
      </c>
      <c r="AC150" s="251" t="s">
        <v>164</v>
      </c>
      <c r="AD150" s="251" t="s">
        <v>68</v>
      </c>
      <c r="AE150" s="251"/>
      <c r="AF150" s="251"/>
      <c r="AG150" s="251"/>
      <c r="AH150" s="251"/>
      <c r="AI150" s="251"/>
      <c r="AJ150" s="251"/>
      <c r="AK150" s="251"/>
      <c r="AL150" s="251"/>
      <c r="AM150" s="251"/>
      <c r="AN150" s="251"/>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row>
    <row r="151" spans="2:60" ht="16.5">
      <c r="B151" s="1"/>
      <c r="C151" s="92"/>
      <c r="E151" s="224"/>
      <c r="F151" s="224"/>
      <c r="I151" s="224"/>
      <c r="J151" s="224"/>
      <c r="K151" s="224"/>
      <c r="L151" s="224"/>
      <c r="M151" s="224"/>
      <c r="N151" s="30"/>
      <c r="P151" s="251"/>
      <c r="Q151" s="251"/>
      <c r="R151" s="251"/>
      <c r="S151" s="251"/>
      <c r="T151" s="251"/>
      <c r="U151" s="251"/>
      <c r="V151" s="251"/>
      <c r="W151" s="251"/>
      <c r="X151" s="251"/>
      <c r="Y151" s="251"/>
      <c r="Z151" s="251"/>
      <c r="AA151" s="251"/>
      <c r="AB151" s="251">
        <v>3</v>
      </c>
      <c r="AC151" s="251" t="s">
        <v>176</v>
      </c>
      <c r="AD151" s="251" t="str">
        <f>CONCATENATE("To qualify for tax exemption, you must not have a fixed base in Singapore and your physical presence in ",IF(VLOOKUP($AC$188,$AC$192:$AM$288,$AM$190,FALSE)=$AB$180,"the calendar year ",IF(VLOOKUP($AC$188,$AC$192:$AI$288,$AI$190,FALSE)="","any 12-month period ","any 15-month period ")),"must not exceed ",VLOOKUP($AC$188,$AC$192:$AJ$288,$AJ$190,FALSE)," days.")</f>
        <v>To qualify for tax exemption, you must not have a fixed base in Singapore and your physical presence in any 12-month period must not exceed  days.</v>
      </c>
      <c r="AE151" s="251"/>
      <c r="AF151" s="251"/>
      <c r="AG151" s="251"/>
      <c r="AH151" s="251"/>
      <c r="AI151" s="251"/>
      <c r="AJ151" s="251"/>
      <c r="AK151" s="251"/>
      <c r="AL151" s="251"/>
      <c r="AM151" s="251"/>
      <c r="AN151" s="251"/>
      <c r="AO151" s="251"/>
      <c r="AP151" s="251"/>
      <c r="AQ151" s="251"/>
      <c r="AR151" s="251"/>
      <c r="AS151" s="251"/>
      <c r="AT151" s="251"/>
      <c r="AU151" s="251"/>
      <c r="AV151" s="251"/>
      <c r="AW151" s="251"/>
      <c r="AX151" s="251"/>
      <c r="AY151" s="251"/>
      <c r="AZ151" s="251"/>
      <c r="BA151" s="251"/>
      <c r="BB151" s="251"/>
      <c r="BC151" s="251"/>
      <c r="BD151" s="251"/>
      <c r="BE151" s="251"/>
      <c r="BF151" s="251"/>
      <c r="BG151" s="251"/>
      <c r="BH151" s="251"/>
    </row>
    <row r="152" spans="2:60" ht="16.5">
      <c r="B152" s="1"/>
      <c r="C152" s="92"/>
      <c r="E152" s="225"/>
      <c r="F152" s="225"/>
      <c r="I152" s="225"/>
      <c r="J152" s="225"/>
      <c r="K152" s="225"/>
      <c r="L152" s="225"/>
      <c r="M152" s="225"/>
      <c r="N152" s="30"/>
      <c r="P152" s="251"/>
      <c r="Q152" s="251"/>
      <c r="R152" s="251"/>
      <c r="S152" s="251"/>
      <c r="T152" s="251"/>
      <c r="U152" s="251"/>
      <c r="V152" s="251"/>
      <c r="W152" s="251"/>
      <c r="X152" s="251"/>
      <c r="Y152" s="251"/>
      <c r="Z152" s="251"/>
      <c r="AA152" s="251"/>
      <c r="AB152" s="251">
        <v>4</v>
      </c>
      <c r="AC152" s="251" t="s">
        <v>177</v>
      </c>
      <c r="AD152" s="251" t="str">
        <f>CONCATENATE("To qualify for tax exemption, you must not have a fixed base in Singapore, ","your income must be below ",VLOOKUP($AC$188,$AC$192:$AN$288,$AK$190,FALSE)," and your physical presence in ",IF(VLOOKUP($AC$188,$AC$192:$AM$288,$AM$190,FALSE)=$AB$180,"the calendar year ",IF(VLOOKUP($AC$188,$AC$192:$AI$288,$AI$190,FALSE)="","any 12-month period ","any 15-month period ")),"must not exceed ",VLOOKUP($AC$188,$AC$192:$AJ$288,$AJ$190,FALSE)," days.")</f>
        <v>To qualify for tax exemption, you must not have a fixed base in Singapore, your income must be below  and your physical presence in any 12-month period must not exceed  days.</v>
      </c>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1"/>
      <c r="BG152" s="251"/>
      <c r="BH152" s="251"/>
    </row>
    <row r="153" spans="2:60" ht="16.5">
      <c r="B153" s="1"/>
      <c r="C153" s="92"/>
      <c r="E153" s="225"/>
      <c r="F153" s="225"/>
      <c r="I153" s="225"/>
      <c r="J153" s="225"/>
      <c r="K153" s="225"/>
      <c r="L153" s="225"/>
      <c r="M153" s="225"/>
      <c r="N153" s="30"/>
      <c r="P153" s="251"/>
      <c r="Q153" s="251"/>
      <c r="R153" s="251"/>
      <c r="S153" s="251"/>
      <c r="T153" s="251"/>
      <c r="U153" s="251"/>
      <c r="V153" s="251"/>
      <c r="W153" s="251"/>
      <c r="X153" s="251"/>
      <c r="Y153" s="251"/>
      <c r="Z153" s="251"/>
      <c r="AA153" s="251"/>
      <c r="AB153" s="251">
        <v>5</v>
      </c>
      <c r="AC153" s="251" t="s">
        <v>167</v>
      </c>
      <c r="AD153" s="251" t="str">
        <f>CONCATENATE("To qualify for tax exemption, your physical presence in ",IF(VLOOKUP($AC$188,$AC$192:$AM$288,$AM$190,FALSE)=$AB$180,"the calendar year ",IF(VLOOKUP($AC$188,$AC$192:$AI$288,$AI$190,FALSE)="","any 12-month period ","any 15-month period ")),"must not exceed ",VLOOKUP($AC$188,$AC$192:$AJ$288,$AJ$190,FALSE)," days.")</f>
        <v>To qualify for tax exemption, your physical presence in any 12-month period must not exceed  days.</v>
      </c>
      <c r="AE153" s="251"/>
      <c r="AF153" s="251"/>
      <c r="AG153" s="251"/>
      <c r="AH153" s="251"/>
      <c r="AI153" s="251"/>
      <c r="AJ153" s="251"/>
      <c r="AK153" s="251"/>
      <c r="AL153" s="251"/>
      <c r="AM153" s="251"/>
      <c r="AN153" s="251"/>
      <c r="AO153" s="251"/>
      <c r="AP153" s="251"/>
      <c r="AQ153" s="251"/>
      <c r="AR153" s="251"/>
      <c r="AS153" s="251"/>
      <c r="AT153" s="251"/>
      <c r="AU153" s="251"/>
      <c r="AV153" s="251"/>
      <c r="AW153" s="251"/>
      <c r="AX153" s="251"/>
      <c r="AY153" s="251"/>
      <c r="AZ153" s="251"/>
      <c r="BA153" s="251"/>
      <c r="BB153" s="251"/>
      <c r="BC153" s="251"/>
      <c r="BD153" s="251"/>
      <c r="BE153" s="251"/>
      <c r="BF153" s="251"/>
      <c r="BG153" s="251"/>
      <c r="BH153" s="251"/>
    </row>
    <row r="154" spans="2:60" ht="16.5">
      <c r="B154" s="1"/>
      <c r="C154" s="92"/>
      <c r="N154" s="30"/>
      <c r="P154" s="251"/>
      <c r="Q154" s="251"/>
      <c r="R154" s="251"/>
      <c r="S154" s="251"/>
      <c r="T154" s="251"/>
      <c r="U154" s="251"/>
      <c r="V154" s="251"/>
      <c r="W154" s="251"/>
      <c r="X154" s="251"/>
      <c r="Y154" s="251"/>
      <c r="Z154" s="251"/>
      <c r="AA154" s="251"/>
      <c r="AB154" s="251">
        <v>6</v>
      </c>
      <c r="AC154" s="251" t="s">
        <v>173</v>
      </c>
      <c r="AD154" s="251" t="str">
        <f>IF($AC$188="Hong Kong","The current agreement does not provide for tax exemption for the services  rendered by non-resident professionals. Please see result below.","The current limited tax treaty does not provide for tax exemption for the services rendered by non-resident professionals. Please see result below.")</f>
        <v>The current limited tax treaty does not provide for tax exemption for the services rendered by non-resident professionals. Please see result below.</v>
      </c>
      <c r="AE154" s="281" t="str">
        <f>IF($AC$188="Hong Kong","The current agreement does not provide for tax exemption for the services rendered by non-resident professionals.","The current limited tax treaty does not provide for tax exemption for the services rendered by non-resident professionals.")</f>
        <v>The current limited tax treaty does not provide for tax exemption for the services rendered by non-resident professionals.</v>
      </c>
      <c r="AF154" s="251"/>
      <c r="AG154" s="251"/>
      <c r="AH154" s="251"/>
      <c r="AI154" s="251"/>
      <c r="AJ154" s="251"/>
      <c r="AK154" s="251"/>
      <c r="AL154" s="251"/>
      <c r="AM154" s="251"/>
      <c r="AN154" s="251"/>
      <c r="AO154" s="251"/>
      <c r="AP154" s="251"/>
      <c r="AQ154" s="251"/>
      <c r="AR154" s="251"/>
      <c r="AS154" s="251"/>
      <c r="AT154" s="251"/>
      <c r="AU154" s="251"/>
      <c r="AV154" s="251"/>
      <c r="AW154" s="251"/>
      <c r="AX154" s="251"/>
      <c r="AY154" s="251"/>
      <c r="AZ154" s="251"/>
      <c r="BA154" s="251"/>
      <c r="BB154" s="251"/>
      <c r="BC154" s="251"/>
      <c r="BD154" s="251"/>
      <c r="BE154" s="251"/>
      <c r="BF154" s="251"/>
      <c r="BG154" s="251"/>
      <c r="BH154" s="251"/>
    </row>
    <row r="155" spans="2:60" ht="16.5">
      <c r="B155" s="1"/>
      <c r="C155" s="92"/>
      <c r="N155" s="30"/>
      <c r="P155" s="251"/>
      <c r="Q155" s="251"/>
      <c r="R155" s="251"/>
      <c r="S155" s="251"/>
      <c r="T155" s="251"/>
      <c r="U155" s="251"/>
      <c r="V155" s="251"/>
      <c r="W155" s="251"/>
      <c r="X155" s="251"/>
      <c r="Y155" s="251"/>
      <c r="Z155" s="251"/>
      <c r="AA155" s="251"/>
      <c r="AB155" s="251">
        <v>7</v>
      </c>
      <c r="AC155" s="251" t="s">
        <v>174</v>
      </c>
      <c r="AD155" s="251" t="s">
        <v>175</v>
      </c>
      <c r="AE155" s="251" t="str">
        <f>CONCATENATE("You do not qualify for tax exemption under the tax treaty between Singapore and ",VLOOKUP($AC$188,$AC$192:$AP$288,$AP$190,FALSE)," under the provision of Article 13.")</f>
        <v>You do not qualify for tax exemption under the tax treaty between Singapore and  under the provision of Article 13.</v>
      </c>
      <c r="AF155" s="251"/>
      <c r="AG155" s="251"/>
      <c r="AH155" s="251"/>
      <c r="AI155" s="251"/>
      <c r="AJ155" s="251"/>
      <c r="AK155" s="251"/>
      <c r="AL155" s="251"/>
      <c r="AM155" s="251"/>
      <c r="AN155" s="251"/>
      <c r="AO155" s="251"/>
      <c r="AP155" s="251"/>
      <c r="AQ155" s="251"/>
      <c r="AR155" s="251"/>
      <c r="AS155" s="251"/>
      <c r="AT155" s="251"/>
      <c r="AU155" s="251"/>
      <c r="AV155" s="251"/>
      <c r="AW155" s="251"/>
      <c r="AX155" s="251"/>
      <c r="AY155" s="251"/>
      <c r="AZ155" s="251"/>
      <c r="BA155" s="251"/>
      <c r="BB155" s="251"/>
      <c r="BC155" s="251"/>
      <c r="BD155" s="251"/>
      <c r="BE155" s="251"/>
      <c r="BF155" s="251"/>
      <c r="BG155" s="251"/>
      <c r="BH155" s="251"/>
    </row>
    <row r="156" spans="2:60" ht="16.5">
      <c r="B156" s="1"/>
      <c r="C156" s="92"/>
      <c r="N156" s="30"/>
      <c r="P156" s="251"/>
      <c r="Q156" s="251"/>
      <c r="R156" s="251"/>
      <c r="S156" s="251"/>
      <c r="T156" s="251"/>
      <c r="U156" s="251"/>
      <c r="V156" s="251"/>
      <c r="W156" s="251"/>
      <c r="X156" s="251"/>
      <c r="Y156" s="251"/>
      <c r="Z156" s="251"/>
      <c r="AA156" s="251"/>
      <c r="AB156" s="251">
        <v>8</v>
      </c>
      <c r="AC156" s="251" t="s">
        <v>270</v>
      </c>
      <c r="AD156" s="251" t="s">
        <v>273</v>
      </c>
      <c r="AE156" s="251"/>
      <c r="AF156" s="251"/>
      <c r="AG156" s="251"/>
      <c r="AH156" s="251"/>
      <c r="AI156" s="251"/>
      <c r="AJ156" s="251"/>
      <c r="AK156" s="251"/>
      <c r="AL156" s="251"/>
      <c r="AM156" s="251"/>
      <c r="AN156" s="251"/>
      <c r="AO156" s="251"/>
      <c r="AP156" s="251"/>
      <c r="AQ156" s="251"/>
      <c r="AR156" s="251"/>
      <c r="AS156" s="251"/>
      <c r="AT156" s="251"/>
      <c r="AU156" s="251"/>
      <c r="AV156" s="251"/>
      <c r="AW156" s="251"/>
      <c r="AX156" s="251"/>
      <c r="AY156" s="251"/>
      <c r="AZ156" s="251"/>
      <c r="BA156" s="251"/>
      <c r="BB156" s="251"/>
      <c r="BC156" s="251"/>
      <c r="BD156" s="251"/>
      <c r="BE156" s="251"/>
      <c r="BF156" s="251"/>
      <c r="BG156" s="251"/>
      <c r="BH156" s="251"/>
    </row>
    <row r="157" spans="2:60" ht="16.5">
      <c r="B157" s="1"/>
      <c r="C157" s="92"/>
      <c r="N157" s="30"/>
      <c r="P157" s="251"/>
      <c r="Q157" s="251"/>
      <c r="R157" s="251"/>
      <c r="S157" s="251"/>
      <c r="T157" s="251"/>
      <c r="U157" s="251"/>
      <c r="V157" s="251"/>
      <c r="W157" s="251"/>
      <c r="X157" s="251"/>
      <c r="Y157" s="251"/>
      <c r="Z157" s="251"/>
      <c r="AA157" s="251"/>
      <c r="AB157" s="251">
        <v>9</v>
      </c>
      <c r="AC157" s="251" t="s">
        <v>271</v>
      </c>
      <c r="AD157" s="251" t="str">
        <f>CONCATENATE("To qualify for reduced withholding tax rate, you must not have a fixed base in Singapore and your physical presence in ",IF(VLOOKUP($AC$188,$AC$192:$AM$288,$AM$190,FALSE)=$AB$180,"the calendar year ",IF(VLOOKUP($AC$188,$AC$192:$AI$288,$AI$190,FALSE)="","any 12-month period ","any 15-month period ")),"must not exceed ",VLOOKUP($AC$188,$AC$192:$AJ$288,$AJ$190,FALSE)," days.")</f>
        <v>To qualify for reduced withholding tax rate, you must not have a fixed base in Singapore and your physical presence in any 12-month period must not exceed  days.</v>
      </c>
      <c r="AE157" s="251"/>
      <c r="AF157" s="251"/>
      <c r="AG157" s="251"/>
      <c r="AH157" s="251"/>
      <c r="AI157" s="251"/>
      <c r="AJ157" s="251"/>
      <c r="AK157" s="251"/>
      <c r="AL157" s="251"/>
      <c r="AM157" s="251"/>
      <c r="AN157" s="251"/>
      <c r="AO157" s="251"/>
      <c r="AP157" s="251"/>
      <c r="AQ157" s="251"/>
      <c r="AR157" s="251"/>
      <c r="AS157" s="251"/>
      <c r="AT157" s="251"/>
      <c r="AU157" s="251"/>
      <c r="AV157" s="251"/>
      <c r="AW157" s="251"/>
      <c r="AX157" s="251"/>
      <c r="AY157" s="251"/>
      <c r="AZ157" s="251"/>
      <c r="BA157" s="251"/>
      <c r="BB157" s="251"/>
      <c r="BC157" s="251"/>
      <c r="BD157" s="251"/>
      <c r="BE157" s="251"/>
      <c r="BF157" s="251"/>
      <c r="BG157" s="251"/>
      <c r="BH157" s="251"/>
    </row>
    <row r="158" spans="2:60" ht="16.5">
      <c r="B158" s="1"/>
      <c r="C158" s="92"/>
      <c r="N158" s="30"/>
      <c r="P158" s="251"/>
      <c r="Q158" s="251"/>
      <c r="R158" s="251"/>
      <c r="S158" s="251"/>
      <c r="T158" s="251"/>
      <c r="U158" s="251"/>
      <c r="V158" s="251"/>
      <c r="W158" s="251"/>
      <c r="X158" s="251"/>
      <c r="Y158" s="251"/>
      <c r="Z158" s="251"/>
      <c r="AA158" s="251"/>
      <c r="AB158" s="282" t="s">
        <v>69</v>
      </c>
      <c r="AC158" s="251"/>
      <c r="AD158" s="251"/>
      <c r="AE158" s="251"/>
      <c r="AF158" s="251"/>
      <c r="AG158" s="251"/>
      <c r="AH158" s="251"/>
      <c r="AI158" s="251"/>
      <c r="AJ158" s="251"/>
      <c r="AK158" s="251"/>
      <c r="AL158" s="251"/>
      <c r="AM158" s="251"/>
      <c r="AN158" s="251"/>
      <c r="AO158" s="251"/>
      <c r="AP158" s="251"/>
      <c r="AQ158" s="251"/>
      <c r="AR158" s="251"/>
      <c r="AS158" s="251"/>
      <c r="AT158" s="251"/>
      <c r="AU158" s="251"/>
      <c r="AV158" s="251"/>
      <c r="AW158" s="251"/>
      <c r="AX158" s="251"/>
      <c r="AY158" s="251"/>
      <c r="AZ158" s="251"/>
      <c r="BA158" s="251"/>
      <c r="BB158" s="251"/>
      <c r="BC158" s="251"/>
      <c r="BD158" s="251"/>
      <c r="BE158" s="251"/>
      <c r="BF158" s="251"/>
      <c r="BG158" s="251"/>
      <c r="BH158" s="251"/>
    </row>
    <row r="159" spans="2:60" ht="16.5">
      <c r="B159" s="1"/>
      <c r="C159" s="92"/>
      <c r="N159" s="30"/>
      <c r="P159" s="251"/>
      <c r="Q159" s="251"/>
      <c r="R159" s="251"/>
      <c r="S159" s="251"/>
      <c r="T159" s="251"/>
      <c r="U159" s="251"/>
      <c r="V159" s="251"/>
      <c r="W159" s="251"/>
      <c r="X159" s="251"/>
      <c r="Y159" s="251"/>
      <c r="Z159" s="251"/>
      <c r="AA159" s="251"/>
      <c r="AB159" s="251">
        <v>1</v>
      </c>
      <c r="AC159" s="251" t="str">
        <f>AC149</f>
        <v>None - Assume Cost Borne</v>
      </c>
      <c r="AD159" s="251"/>
      <c r="AE159" s="251"/>
      <c r="AF159" s="251"/>
      <c r="AG159" s="251"/>
      <c r="AH159" s="251"/>
      <c r="AI159" s="251"/>
      <c r="AJ159" s="251"/>
      <c r="AK159" s="251"/>
      <c r="AL159" s="251"/>
      <c r="AM159" s="251"/>
      <c r="AN159" s="251"/>
      <c r="AO159" s="251"/>
      <c r="AP159" s="251"/>
      <c r="AQ159" s="251"/>
      <c r="AR159" s="251"/>
      <c r="AS159" s="251"/>
      <c r="AT159" s="251"/>
      <c r="AU159" s="251"/>
      <c r="AV159" s="251"/>
      <c r="AW159" s="251"/>
      <c r="AX159" s="251"/>
      <c r="AY159" s="251"/>
      <c r="AZ159" s="251"/>
      <c r="BA159" s="251"/>
      <c r="BB159" s="251"/>
      <c r="BC159" s="251"/>
      <c r="BD159" s="251"/>
      <c r="BE159" s="251"/>
      <c r="BF159" s="251"/>
      <c r="BG159" s="251"/>
      <c r="BH159" s="251"/>
    </row>
    <row r="160" spans="2:60" ht="16.5">
      <c r="B160" s="1"/>
      <c r="C160" s="92"/>
      <c r="N160" s="30"/>
      <c r="P160" s="251"/>
      <c r="Q160" s="251"/>
      <c r="R160" s="251"/>
      <c r="S160" s="251"/>
      <c r="T160" s="251"/>
      <c r="U160" s="251"/>
      <c r="V160" s="251"/>
      <c r="W160" s="251"/>
      <c r="X160" s="251"/>
      <c r="Y160" s="251"/>
      <c r="Z160" s="251"/>
      <c r="AA160" s="251"/>
      <c r="AB160" s="251">
        <v>2</v>
      </c>
      <c r="AC160" s="251" t="str">
        <f>AC150</f>
        <v>Please answer question 2a.</v>
      </c>
      <c r="AD160" s="251"/>
      <c r="AE160" s="251"/>
      <c r="AF160" s="251"/>
      <c r="AG160" s="251"/>
      <c r="AH160" s="251"/>
      <c r="AI160" s="251"/>
      <c r="AJ160" s="251"/>
      <c r="AK160" s="251"/>
      <c r="AL160" s="251"/>
      <c r="AM160" s="251"/>
      <c r="AN160" s="251"/>
      <c r="AO160" s="251"/>
      <c r="AP160" s="251"/>
      <c r="AQ160" s="251"/>
      <c r="AR160" s="251"/>
      <c r="AS160" s="251"/>
      <c r="AT160" s="251"/>
      <c r="AU160" s="251"/>
      <c r="AV160" s="251"/>
      <c r="AW160" s="251"/>
      <c r="AX160" s="251"/>
      <c r="AY160" s="251"/>
      <c r="AZ160" s="251"/>
      <c r="BA160" s="251"/>
      <c r="BB160" s="251"/>
      <c r="BC160" s="251"/>
      <c r="BD160" s="251"/>
      <c r="BE160" s="251"/>
      <c r="BF160" s="251"/>
      <c r="BG160" s="251"/>
      <c r="BH160" s="251"/>
    </row>
    <row r="161" spans="2:60" ht="16.5">
      <c r="B161" s="1"/>
      <c r="C161" s="92"/>
      <c r="N161" s="30"/>
      <c r="P161" s="251"/>
      <c r="Q161" s="251"/>
      <c r="R161" s="251"/>
      <c r="S161" s="251"/>
      <c r="T161" s="251"/>
      <c r="U161" s="251"/>
      <c r="V161" s="251"/>
      <c r="W161" s="251"/>
      <c r="X161" s="251"/>
      <c r="Y161" s="251"/>
      <c r="Z161" s="251"/>
      <c r="AA161" s="251"/>
      <c r="AB161" s="251">
        <v>3</v>
      </c>
      <c r="AC161" s="251" t="s">
        <v>178</v>
      </c>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c r="AX161" s="251"/>
      <c r="AY161" s="251"/>
      <c r="AZ161" s="251"/>
      <c r="BA161" s="251"/>
      <c r="BB161" s="251"/>
      <c r="BC161" s="251"/>
      <c r="BD161" s="251"/>
      <c r="BE161" s="251"/>
      <c r="BF161" s="251"/>
      <c r="BG161" s="251"/>
      <c r="BH161" s="251"/>
    </row>
    <row r="162" spans="2:60" ht="16.5">
      <c r="B162" s="1"/>
      <c r="C162" s="92"/>
      <c r="N162" s="30"/>
      <c r="P162" s="251"/>
      <c r="Q162" s="251"/>
      <c r="R162" s="251"/>
      <c r="S162" s="251"/>
      <c r="T162" s="251"/>
      <c r="U162" s="251"/>
      <c r="V162" s="251"/>
      <c r="W162" s="251"/>
      <c r="X162" s="251"/>
      <c r="Y162" s="251"/>
      <c r="Z162" s="251"/>
      <c r="AA162" s="251"/>
      <c r="AB162" s="282" t="s">
        <v>70</v>
      </c>
      <c r="AC162" s="251"/>
      <c r="AD162" s="251"/>
      <c r="AE162" s="251"/>
      <c r="AF162" s="251"/>
      <c r="AG162" s="251"/>
      <c r="AH162" s="251"/>
      <c r="AI162" s="251"/>
      <c r="AJ162" s="251"/>
      <c r="AK162" s="251"/>
      <c r="AL162" s="251"/>
      <c r="AM162" s="251"/>
      <c r="AN162" s="251"/>
      <c r="AO162" s="251"/>
      <c r="AP162" s="251"/>
      <c r="AQ162" s="251"/>
      <c r="AR162" s="251"/>
      <c r="AS162" s="251"/>
      <c r="AT162" s="251"/>
      <c r="AU162" s="251"/>
      <c r="AV162" s="251"/>
      <c r="AW162" s="251"/>
      <c r="AX162" s="251"/>
      <c r="AY162" s="251"/>
      <c r="AZ162" s="251"/>
      <c r="BA162" s="251"/>
      <c r="BB162" s="251"/>
      <c r="BC162" s="251"/>
      <c r="BD162" s="251"/>
      <c r="BE162" s="251"/>
      <c r="BF162" s="251"/>
      <c r="BG162" s="251"/>
      <c r="BH162" s="251"/>
    </row>
    <row r="163" spans="2:60" ht="16.5">
      <c r="B163" s="1"/>
      <c r="C163" s="92"/>
      <c r="N163" s="30"/>
      <c r="P163" s="251"/>
      <c r="Q163" s="251"/>
      <c r="R163" s="251"/>
      <c r="S163" s="251"/>
      <c r="T163" s="251"/>
      <c r="U163" s="251"/>
      <c r="V163" s="251"/>
      <c r="W163" s="251"/>
      <c r="X163" s="251"/>
      <c r="Y163" s="251"/>
      <c r="Z163" s="251"/>
      <c r="AA163" s="251"/>
      <c r="AB163" s="283">
        <v>1</v>
      </c>
      <c r="AC163" s="251" t="s">
        <v>250</v>
      </c>
      <c r="AD163" s="251"/>
      <c r="AE163" s="251"/>
      <c r="AF163" s="251"/>
      <c r="AG163" s="251"/>
      <c r="AH163" s="251"/>
      <c r="AI163" s="251"/>
      <c r="AJ163" s="251"/>
      <c r="AK163" s="251"/>
      <c r="AL163" s="251"/>
      <c r="AM163" s="251"/>
      <c r="AN163" s="251"/>
      <c r="AO163" s="251"/>
      <c r="AP163" s="251"/>
      <c r="AQ163" s="251"/>
      <c r="AR163" s="251"/>
      <c r="AS163" s="251"/>
      <c r="AT163" s="251"/>
      <c r="AU163" s="251"/>
      <c r="AV163" s="251"/>
      <c r="AW163" s="251"/>
      <c r="AX163" s="251"/>
      <c r="AY163" s="251"/>
      <c r="AZ163" s="251"/>
      <c r="BA163" s="251"/>
      <c r="BB163" s="251"/>
      <c r="BC163" s="251"/>
      <c r="BD163" s="251"/>
      <c r="BE163" s="251"/>
      <c r="BF163" s="251"/>
      <c r="BG163" s="251"/>
      <c r="BH163" s="251"/>
    </row>
    <row r="164" spans="2:60" ht="16.5">
      <c r="B164" s="1"/>
      <c r="C164" s="92"/>
      <c r="N164" s="30"/>
      <c r="P164" s="251"/>
      <c r="Q164" s="251"/>
      <c r="R164" s="251"/>
      <c r="S164" s="251"/>
      <c r="T164" s="251"/>
      <c r="U164" s="251"/>
      <c r="V164" s="251"/>
      <c r="W164" s="251"/>
      <c r="X164" s="251"/>
      <c r="Y164" s="251"/>
      <c r="Z164" s="251"/>
      <c r="AA164" s="251"/>
      <c r="AB164" s="251">
        <v>2</v>
      </c>
      <c r="AC164" s="251" t="s">
        <v>71</v>
      </c>
      <c r="AD164" s="251"/>
      <c r="AE164" s="251"/>
      <c r="AF164" s="251" t="str">
        <f>CONCATENATE("exceeded ",VLOOKUP($AC$188,$AC$192:$AJ$288,$AJ$190,FALSE)," days ")</f>
        <v>exceeded  days </v>
      </c>
      <c r="AG164" s="251"/>
      <c r="AH164" s="251"/>
      <c r="AI164" s="251"/>
      <c r="AJ164" s="251"/>
      <c r="AK164" s="251"/>
      <c r="AL164" s="251"/>
      <c r="AM164" s="251"/>
      <c r="AN164" s="251"/>
      <c r="AO164" s="251"/>
      <c r="AP164" s="251"/>
      <c r="AQ164" s="251"/>
      <c r="AR164" s="251"/>
      <c r="AS164" s="251"/>
      <c r="AT164" s="251"/>
      <c r="AU164" s="251"/>
      <c r="AV164" s="251"/>
      <c r="AW164" s="251"/>
      <c r="AX164" s="251"/>
      <c r="AY164" s="251"/>
      <c r="AZ164" s="251"/>
      <c r="BA164" s="251"/>
      <c r="BB164" s="251"/>
      <c r="BC164" s="251"/>
      <c r="BD164" s="251"/>
      <c r="BE164" s="251"/>
      <c r="BF164" s="251"/>
      <c r="BG164" s="251"/>
      <c r="BH164" s="251"/>
    </row>
    <row r="165" spans="2:60" ht="16.5">
      <c r="B165" s="1"/>
      <c r="C165" s="92"/>
      <c r="N165" s="30"/>
      <c r="P165" s="251"/>
      <c r="Q165" s="251"/>
      <c r="R165" s="251"/>
      <c r="S165" s="251"/>
      <c r="T165" s="251"/>
      <c r="U165" s="251"/>
      <c r="V165" s="251"/>
      <c r="W165" s="251"/>
      <c r="X165" s="251"/>
      <c r="Y165" s="251"/>
      <c r="Z165" s="251"/>
      <c r="AA165" s="251"/>
      <c r="AB165" s="251">
        <v>3</v>
      </c>
      <c r="AC165" s="251" t="s">
        <v>161</v>
      </c>
      <c r="AD165" s="251"/>
      <c r="AE165" s="251"/>
      <c r="AF165" s="251"/>
      <c r="AG165" s="251"/>
      <c r="AH165" s="251"/>
      <c r="AI165" s="251"/>
      <c r="AJ165" s="251"/>
      <c r="AK165" s="251"/>
      <c r="AL165" s="251"/>
      <c r="AM165" s="251"/>
      <c r="AN165" s="251"/>
      <c r="AO165" s="251"/>
      <c r="AP165" s="251"/>
      <c r="AQ165" s="251"/>
      <c r="AR165" s="251"/>
      <c r="AS165" s="251"/>
      <c r="AT165" s="251"/>
      <c r="AU165" s="251"/>
      <c r="AV165" s="251"/>
      <c r="AW165" s="251"/>
      <c r="AX165" s="251"/>
      <c r="AY165" s="251"/>
      <c r="AZ165" s="251"/>
      <c r="BA165" s="251"/>
      <c r="BB165" s="251"/>
      <c r="BC165" s="251"/>
      <c r="BD165" s="251"/>
      <c r="BE165" s="251"/>
      <c r="BF165" s="251"/>
      <c r="BG165" s="251"/>
      <c r="BH165" s="251"/>
    </row>
    <row r="166" spans="2:60" ht="16.5">
      <c r="B166" s="1"/>
      <c r="C166" s="92"/>
      <c r="N166" s="30"/>
      <c r="P166" s="251"/>
      <c r="Q166" s="251"/>
      <c r="R166" s="251"/>
      <c r="S166" s="251"/>
      <c r="T166" s="251"/>
      <c r="U166" s="251"/>
      <c r="V166" s="251"/>
      <c r="W166" s="251"/>
      <c r="X166" s="251"/>
      <c r="Y166" s="251"/>
      <c r="Z166" s="251"/>
      <c r="AA166" s="251"/>
      <c r="AB166" s="251">
        <v>4</v>
      </c>
      <c r="AC166" s="251" t="s">
        <v>72</v>
      </c>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51"/>
      <c r="AZ166" s="251"/>
      <c r="BA166" s="251"/>
      <c r="BB166" s="251"/>
      <c r="BC166" s="251"/>
      <c r="BD166" s="251"/>
      <c r="BE166" s="251"/>
      <c r="BF166" s="251"/>
      <c r="BG166" s="251"/>
      <c r="BH166" s="251"/>
    </row>
    <row r="167" spans="2:60" ht="16.5">
      <c r="B167" s="1"/>
      <c r="C167" s="92"/>
      <c r="N167" s="30"/>
      <c r="P167" s="251"/>
      <c r="Q167" s="251"/>
      <c r="R167" s="251"/>
      <c r="S167" s="251"/>
      <c r="T167" s="251"/>
      <c r="U167" s="251"/>
      <c r="V167" s="251"/>
      <c r="W167" s="251"/>
      <c r="X167" s="251"/>
      <c r="Y167" s="251"/>
      <c r="Z167" s="251"/>
      <c r="AA167" s="251"/>
      <c r="AB167" s="251">
        <v>5</v>
      </c>
      <c r="AC167" s="251" t="s">
        <v>73</v>
      </c>
      <c r="AD167" s="251"/>
      <c r="AE167" s="251"/>
      <c r="AF167" s="251"/>
      <c r="AG167" s="251"/>
      <c r="AH167" s="251"/>
      <c r="AI167" s="251"/>
      <c r="AJ167" s="251"/>
      <c r="AK167" s="251"/>
      <c r="AL167" s="251"/>
      <c r="AM167" s="251"/>
      <c r="AN167" s="251"/>
      <c r="AO167" s="251"/>
      <c r="AP167" s="251"/>
      <c r="AQ167" s="251"/>
      <c r="AR167" s="251"/>
      <c r="AS167" s="251"/>
      <c r="AT167" s="251"/>
      <c r="AU167" s="251"/>
      <c r="AV167" s="251"/>
      <c r="AW167" s="251"/>
      <c r="AX167" s="251"/>
      <c r="AY167" s="251"/>
      <c r="AZ167" s="251"/>
      <c r="BA167" s="251"/>
      <c r="BB167" s="251"/>
      <c r="BC167" s="251"/>
      <c r="BD167" s="251"/>
      <c r="BE167" s="251"/>
      <c r="BF167" s="251"/>
      <c r="BG167" s="251"/>
      <c r="BH167" s="251"/>
    </row>
    <row r="168" spans="2:60" ht="16.5">
      <c r="B168" s="1"/>
      <c r="C168" s="92"/>
      <c r="N168" s="30"/>
      <c r="P168" s="251"/>
      <c r="Q168" s="251"/>
      <c r="R168" s="251"/>
      <c r="S168" s="251"/>
      <c r="T168" s="251"/>
      <c r="U168" s="251"/>
      <c r="V168" s="251"/>
      <c r="W168" s="251"/>
      <c r="X168" s="251"/>
      <c r="Y168" s="251"/>
      <c r="Z168" s="251"/>
      <c r="AA168" s="251"/>
      <c r="AB168" s="251">
        <v>6</v>
      </c>
      <c r="AC168" s="251" t="s">
        <v>74</v>
      </c>
      <c r="AD168" s="251"/>
      <c r="AE168" s="251"/>
      <c r="AF168" s="251"/>
      <c r="AG168" s="251"/>
      <c r="AH168" s="251"/>
      <c r="AI168" s="251"/>
      <c r="AJ168" s="251"/>
      <c r="AK168" s="251"/>
      <c r="AL168" s="251"/>
      <c r="AM168" s="251"/>
      <c r="AN168" s="251"/>
      <c r="AO168" s="251"/>
      <c r="AP168" s="251"/>
      <c r="AQ168" s="251"/>
      <c r="AR168" s="251"/>
      <c r="AS168" s="251"/>
      <c r="AT168" s="251"/>
      <c r="AU168" s="251"/>
      <c r="AV168" s="251"/>
      <c r="AW168" s="251"/>
      <c r="AX168" s="251"/>
      <c r="AY168" s="251"/>
      <c r="AZ168" s="251"/>
      <c r="BA168" s="251"/>
      <c r="BB168" s="251"/>
      <c r="BC168" s="251"/>
      <c r="BD168" s="251"/>
      <c r="BE168" s="251"/>
      <c r="BF168" s="251"/>
      <c r="BG168" s="251"/>
      <c r="BH168" s="251"/>
    </row>
    <row r="169" spans="2:60" ht="16.5">
      <c r="B169" s="1"/>
      <c r="C169" s="92"/>
      <c r="N169" s="30"/>
      <c r="P169" s="251"/>
      <c r="Q169" s="251"/>
      <c r="R169" s="251"/>
      <c r="S169" s="251"/>
      <c r="T169" s="251"/>
      <c r="U169" s="251"/>
      <c r="V169" s="251"/>
      <c r="W169" s="251"/>
      <c r="X169" s="251"/>
      <c r="Y169" s="251"/>
      <c r="Z169" s="251"/>
      <c r="AA169" s="251"/>
      <c r="AB169" s="251">
        <v>7</v>
      </c>
      <c r="AC169" s="251" t="s">
        <v>252</v>
      </c>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c r="BA169" s="251"/>
      <c r="BB169" s="251"/>
      <c r="BC169" s="251"/>
      <c r="BD169" s="251"/>
      <c r="BE169" s="251"/>
      <c r="BF169" s="251"/>
      <c r="BG169" s="251"/>
      <c r="BH169" s="251"/>
    </row>
    <row r="170" spans="2:60" ht="16.5">
      <c r="B170" s="1"/>
      <c r="C170" s="92"/>
      <c r="N170" s="30"/>
      <c r="P170" s="251"/>
      <c r="Q170" s="251"/>
      <c r="R170" s="251"/>
      <c r="S170" s="251"/>
      <c r="T170" s="251"/>
      <c r="U170" s="251"/>
      <c r="V170" s="251"/>
      <c r="W170" s="251"/>
      <c r="X170" s="251"/>
      <c r="Y170" s="251"/>
      <c r="Z170" s="251"/>
      <c r="AA170" s="251"/>
      <c r="AB170" s="251">
        <v>8</v>
      </c>
      <c r="AC170" s="251" t="s">
        <v>251</v>
      </c>
      <c r="AD170" s="251"/>
      <c r="AE170" s="251"/>
      <c r="AF170" s="251"/>
      <c r="AG170" s="251"/>
      <c r="AH170" s="251"/>
      <c r="AI170" s="251"/>
      <c r="AJ170" s="251"/>
      <c r="AK170" s="251"/>
      <c r="AL170" s="251"/>
      <c r="AM170" s="251"/>
      <c r="AN170" s="251"/>
      <c r="AO170" s="251"/>
      <c r="AP170" s="251"/>
      <c r="AQ170" s="251"/>
      <c r="AR170" s="251"/>
      <c r="AS170" s="251"/>
      <c r="AT170" s="251"/>
      <c r="AU170" s="251"/>
      <c r="AV170" s="251"/>
      <c r="AW170" s="251"/>
      <c r="AX170" s="251"/>
      <c r="AY170" s="251"/>
      <c r="AZ170" s="251"/>
      <c r="BA170" s="251"/>
      <c r="BB170" s="251"/>
      <c r="BC170" s="251"/>
      <c r="BD170" s="251"/>
      <c r="BE170" s="251"/>
      <c r="BF170" s="251"/>
      <c r="BG170" s="251"/>
      <c r="BH170" s="251"/>
    </row>
    <row r="171" spans="2:60" ht="16.5">
      <c r="B171" s="1"/>
      <c r="C171" s="92"/>
      <c r="E171" s="92"/>
      <c r="F171" s="92"/>
      <c r="G171" s="92"/>
      <c r="H171" s="92"/>
      <c r="I171" s="92"/>
      <c r="J171" s="92"/>
      <c r="K171" s="92"/>
      <c r="L171" s="92"/>
      <c r="M171" s="92"/>
      <c r="N171" s="30"/>
      <c r="P171" s="251"/>
      <c r="Q171" s="251"/>
      <c r="R171" s="251"/>
      <c r="S171" s="251"/>
      <c r="T171" s="251"/>
      <c r="U171" s="251"/>
      <c r="V171" s="251"/>
      <c r="W171" s="251"/>
      <c r="X171" s="251"/>
      <c r="Y171" s="251"/>
      <c r="Z171" s="251"/>
      <c r="AA171" s="251"/>
      <c r="AB171" s="251">
        <v>9</v>
      </c>
      <c r="AC171" s="251" t="s">
        <v>253</v>
      </c>
      <c r="AD171" s="251"/>
      <c r="AE171" s="251"/>
      <c r="AF171" s="251"/>
      <c r="AG171" s="251"/>
      <c r="AH171" s="251"/>
      <c r="AI171" s="251"/>
      <c r="AJ171" s="251"/>
      <c r="AK171" s="251"/>
      <c r="AL171" s="251"/>
      <c r="AM171" s="251"/>
      <c r="AN171" s="251"/>
      <c r="AO171" s="251"/>
      <c r="AP171" s="251"/>
      <c r="AQ171" s="251"/>
      <c r="AR171" s="251"/>
      <c r="AS171" s="251"/>
      <c r="AT171" s="251"/>
      <c r="AU171" s="251"/>
      <c r="AV171" s="251"/>
      <c r="AW171" s="251"/>
      <c r="AX171" s="251"/>
      <c r="AY171" s="251"/>
      <c r="AZ171" s="251"/>
      <c r="BA171" s="251"/>
      <c r="BB171" s="251"/>
      <c r="BC171" s="251"/>
      <c r="BD171" s="251"/>
      <c r="BE171" s="251"/>
      <c r="BF171" s="251"/>
      <c r="BG171" s="251"/>
      <c r="BH171" s="251"/>
    </row>
    <row r="172" spans="2:60" ht="16.5">
      <c r="B172" s="1"/>
      <c r="C172" s="92"/>
      <c r="E172" s="92"/>
      <c r="F172" s="92"/>
      <c r="G172" s="92"/>
      <c r="H172" s="92"/>
      <c r="I172" s="92"/>
      <c r="J172" s="92"/>
      <c r="K172" s="92"/>
      <c r="L172" s="92"/>
      <c r="M172" s="92"/>
      <c r="N172" s="30"/>
      <c r="P172" s="251"/>
      <c r="Q172" s="251"/>
      <c r="R172" s="251"/>
      <c r="S172" s="251"/>
      <c r="T172" s="251"/>
      <c r="U172" s="251"/>
      <c r="V172" s="251"/>
      <c r="W172" s="251"/>
      <c r="X172" s="251"/>
      <c r="Y172" s="251"/>
      <c r="Z172" s="251"/>
      <c r="AA172" s="251"/>
      <c r="AB172" s="251">
        <v>10</v>
      </c>
      <c r="AC172" s="251" t="s">
        <v>75</v>
      </c>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c r="AY172" s="251"/>
      <c r="AZ172" s="251"/>
      <c r="BA172" s="251"/>
      <c r="BB172" s="251"/>
      <c r="BC172" s="251"/>
      <c r="BD172" s="251"/>
      <c r="BE172" s="251"/>
      <c r="BF172" s="251"/>
      <c r="BG172" s="251"/>
      <c r="BH172" s="251"/>
    </row>
    <row r="173" spans="2:60" ht="16.5">
      <c r="B173" s="1"/>
      <c r="C173" s="92"/>
      <c r="E173" s="92"/>
      <c r="F173" s="92"/>
      <c r="G173" s="92"/>
      <c r="H173" s="92"/>
      <c r="I173" s="92"/>
      <c r="J173" s="92"/>
      <c r="K173" s="92"/>
      <c r="L173" s="92"/>
      <c r="M173" s="92"/>
      <c r="N173" s="30"/>
      <c r="P173" s="251"/>
      <c r="Q173" s="251"/>
      <c r="R173" s="251"/>
      <c r="S173" s="251"/>
      <c r="T173" s="251"/>
      <c r="U173" s="251"/>
      <c r="V173" s="251"/>
      <c r="W173" s="251"/>
      <c r="X173" s="251"/>
      <c r="Y173" s="251"/>
      <c r="Z173" s="251"/>
      <c r="AA173" s="251"/>
      <c r="AB173" s="251">
        <v>11</v>
      </c>
      <c r="AC173" s="251" t="s">
        <v>76</v>
      </c>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c r="AY173" s="251"/>
      <c r="AZ173" s="251"/>
      <c r="BA173" s="251"/>
      <c r="BB173" s="251"/>
      <c r="BC173" s="251"/>
      <c r="BD173" s="251"/>
      <c r="BE173" s="251"/>
      <c r="BF173" s="251"/>
      <c r="BG173" s="251"/>
      <c r="BH173" s="251"/>
    </row>
    <row r="174" spans="2:60" ht="16.5">
      <c r="B174" s="1"/>
      <c r="C174" s="92"/>
      <c r="E174" s="92"/>
      <c r="F174" s="92"/>
      <c r="G174" s="92"/>
      <c r="H174" s="92"/>
      <c r="I174" s="92"/>
      <c r="J174" s="92"/>
      <c r="K174" s="92"/>
      <c r="L174" s="92"/>
      <c r="M174" s="92"/>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c r="AY174" s="251"/>
      <c r="AZ174" s="251"/>
      <c r="BA174" s="251"/>
      <c r="BB174" s="251"/>
      <c r="BC174" s="251"/>
      <c r="BD174" s="251"/>
      <c r="BE174" s="251"/>
      <c r="BF174" s="251"/>
      <c r="BG174" s="251"/>
      <c r="BH174" s="251"/>
    </row>
    <row r="175" spans="2:60" ht="16.5">
      <c r="B175" s="1"/>
      <c r="C175" s="92"/>
      <c r="E175" s="92"/>
      <c r="F175" s="92"/>
      <c r="G175" s="92"/>
      <c r="H175" s="92"/>
      <c r="I175" s="92"/>
      <c r="J175" s="92"/>
      <c r="K175" s="92"/>
      <c r="L175" s="92"/>
      <c r="M175" s="92"/>
      <c r="P175" s="251"/>
      <c r="Q175" s="251"/>
      <c r="R175" s="251"/>
      <c r="S175" s="251"/>
      <c r="T175" s="251"/>
      <c r="U175" s="251"/>
      <c r="V175" s="251"/>
      <c r="W175" s="251"/>
      <c r="X175" s="251"/>
      <c r="Y175" s="251"/>
      <c r="Z175" s="251"/>
      <c r="AA175" s="251"/>
      <c r="AB175" s="251" t="s">
        <v>77</v>
      </c>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c r="AY175" s="251"/>
      <c r="AZ175" s="251"/>
      <c r="BA175" s="251"/>
      <c r="BB175" s="251"/>
      <c r="BC175" s="251"/>
      <c r="BD175" s="251"/>
      <c r="BE175" s="251"/>
      <c r="BF175" s="251"/>
      <c r="BG175" s="251"/>
      <c r="BH175" s="251"/>
    </row>
    <row r="176" spans="2:60" ht="16.5">
      <c r="B176" s="1"/>
      <c r="C176" s="92"/>
      <c r="E176" s="92"/>
      <c r="F176" s="92"/>
      <c r="G176" s="92"/>
      <c r="H176" s="92"/>
      <c r="I176" s="92"/>
      <c r="J176" s="92"/>
      <c r="K176" s="92"/>
      <c r="L176" s="92"/>
      <c r="M176" s="92"/>
      <c r="P176" s="251"/>
      <c r="Q176" s="251"/>
      <c r="R176" s="251"/>
      <c r="S176" s="251"/>
      <c r="T176" s="251"/>
      <c r="U176" s="251"/>
      <c r="V176" s="251"/>
      <c r="W176" s="251"/>
      <c r="X176" s="251"/>
      <c r="Y176" s="251"/>
      <c r="Z176" s="251"/>
      <c r="AA176" s="251"/>
      <c r="AB176" s="251">
        <v>1</v>
      </c>
      <c r="AC176" s="251" t="s">
        <v>78</v>
      </c>
      <c r="AD176" s="251"/>
      <c r="AE176" s="251"/>
      <c r="AF176" s="251"/>
      <c r="AG176" s="251"/>
      <c r="AH176" s="251"/>
      <c r="AI176" s="251"/>
      <c r="AJ176" s="251"/>
      <c r="AK176" s="251"/>
      <c r="AL176" s="251"/>
      <c r="AM176" s="251"/>
      <c r="AN176" s="251"/>
      <c r="AO176" s="251"/>
      <c r="AP176" s="251"/>
      <c r="AQ176" s="251"/>
      <c r="AR176" s="251"/>
      <c r="AS176" s="251"/>
      <c r="AT176" s="251"/>
      <c r="AU176" s="251"/>
      <c r="AV176" s="251"/>
      <c r="AW176" s="251"/>
      <c r="AX176" s="251"/>
      <c r="AY176" s="251"/>
      <c r="AZ176" s="251"/>
      <c r="BA176" s="251"/>
      <c r="BB176" s="251"/>
      <c r="BC176" s="251"/>
      <c r="BD176" s="251"/>
      <c r="BE176" s="251"/>
      <c r="BF176" s="251"/>
      <c r="BG176" s="251"/>
      <c r="BH176" s="251"/>
    </row>
    <row r="177" spans="2:60" ht="16.5">
      <c r="B177" s="1"/>
      <c r="C177" s="92"/>
      <c r="E177" s="92"/>
      <c r="F177" s="92"/>
      <c r="G177" s="92"/>
      <c r="H177" s="92"/>
      <c r="I177" s="92"/>
      <c r="J177" s="92"/>
      <c r="K177" s="92"/>
      <c r="L177" s="92"/>
      <c r="M177" s="92"/>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1"/>
      <c r="AY177" s="251"/>
      <c r="AZ177" s="251"/>
      <c r="BA177" s="251"/>
      <c r="BB177" s="251"/>
      <c r="BC177" s="251"/>
      <c r="BD177" s="251"/>
      <c r="BE177" s="251"/>
      <c r="BF177" s="251"/>
      <c r="BG177" s="251"/>
      <c r="BH177" s="251"/>
    </row>
    <row r="178" spans="2:60" ht="16.5">
      <c r="B178" s="1"/>
      <c r="C178" s="92"/>
      <c r="E178" s="92"/>
      <c r="F178" s="92"/>
      <c r="G178" s="92"/>
      <c r="H178" s="92"/>
      <c r="I178" s="92"/>
      <c r="J178" s="92"/>
      <c r="K178" s="92"/>
      <c r="L178" s="92"/>
      <c r="M178" s="92"/>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c r="AN178" s="251"/>
      <c r="AO178" s="251"/>
      <c r="AP178" s="251"/>
      <c r="AQ178" s="251"/>
      <c r="AR178" s="251"/>
      <c r="AS178" s="251"/>
      <c r="AT178" s="251"/>
      <c r="AU178" s="251"/>
      <c r="AV178" s="251"/>
      <c r="AW178" s="251"/>
      <c r="AX178" s="251"/>
      <c r="AY178" s="251"/>
      <c r="AZ178" s="251"/>
      <c r="BA178" s="251"/>
      <c r="BB178" s="251"/>
      <c r="BC178" s="251"/>
      <c r="BD178" s="251"/>
      <c r="BE178" s="251"/>
      <c r="BF178" s="251"/>
      <c r="BG178" s="251"/>
      <c r="BH178" s="251"/>
    </row>
    <row r="179" spans="2:60" ht="16.5">
      <c r="B179" s="1"/>
      <c r="C179" s="92"/>
      <c r="E179" s="92"/>
      <c r="F179" s="92"/>
      <c r="G179" s="92"/>
      <c r="H179" s="92"/>
      <c r="I179" s="92"/>
      <c r="J179" s="92"/>
      <c r="K179" s="92"/>
      <c r="L179" s="92"/>
      <c r="M179" s="92"/>
      <c r="P179" s="251"/>
      <c r="Q179" s="251"/>
      <c r="R179" s="251"/>
      <c r="S179" s="251"/>
      <c r="T179" s="251"/>
      <c r="U179" s="251"/>
      <c r="V179" s="251"/>
      <c r="W179" s="251"/>
      <c r="X179" s="251"/>
      <c r="Y179" s="251"/>
      <c r="Z179" s="251"/>
      <c r="AA179" s="251"/>
      <c r="AB179" s="251" t="s">
        <v>79</v>
      </c>
      <c r="AC179" s="251"/>
      <c r="AD179" s="251"/>
      <c r="AE179" s="251"/>
      <c r="AF179" s="251"/>
      <c r="AG179" s="251"/>
      <c r="AH179" s="251"/>
      <c r="AI179" s="251"/>
      <c r="AJ179" s="251"/>
      <c r="AK179" s="251"/>
      <c r="AL179" s="251"/>
      <c r="AM179" s="251"/>
      <c r="AN179" s="251"/>
      <c r="AO179" s="251"/>
      <c r="AP179" s="251"/>
      <c r="AQ179" s="251"/>
      <c r="AR179" s="251"/>
      <c r="AS179" s="251"/>
      <c r="AT179" s="251"/>
      <c r="AU179" s="251"/>
      <c r="AV179" s="251"/>
      <c r="AW179" s="251"/>
      <c r="AX179" s="251"/>
      <c r="AY179" s="251"/>
      <c r="AZ179" s="251"/>
      <c r="BA179" s="251"/>
      <c r="BB179" s="251"/>
      <c r="BC179" s="251"/>
      <c r="BD179" s="251"/>
      <c r="BE179" s="251"/>
      <c r="BF179" s="251"/>
      <c r="BG179" s="251"/>
      <c r="BH179" s="251"/>
    </row>
    <row r="180" spans="2:60" ht="16.5">
      <c r="B180" s="1"/>
      <c r="C180" s="92"/>
      <c r="E180" s="92"/>
      <c r="F180" s="92"/>
      <c r="G180" s="92"/>
      <c r="H180" s="92"/>
      <c r="I180" s="92"/>
      <c r="J180" s="92"/>
      <c r="K180" s="92"/>
      <c r="L180" s="92"/>
      <c r="M180" s="92"/>
      <c r="P180" s="251"/>
      <c r="Q180" s="251"/>
      <c r="R180" s="251"/>
      <c r="S180" s="251"/>
      <c r="T180" s="251"/>
      <c r="U180" s="251"/>
      <c r="V180" s="251"/>
      <c r="W180" s="251"/>
      <c r="X180" s="251"/>
      <c r="Y180" s="251"/>
      <c r="Z180" s="251"/>
      <c r="AA180" s="251"/>
      <c r="AB180" s="251" t="s">
        <v>61</v>
      </c>
      <c r="AC180" s="251" t="str">
        <f>CONCATENATE("(The purpose of this calculator is to determine if the NRP's stay in Singapore exceeds ",VLOOKUP($AC$188,$AC$192:$AJ$288,$AJ$190,FALSE)," days in a calendar year. A NRP whose stay exceeds ",VLOOKUP($AC$188,$AC$192:$AJ$288,$AJ$190,FALSE)," days is liable to tax on the income derived from his engagement in Singapore)")</f>
        <v>(The purpose of this calculator is to determine if the NRP's stay in Singapore exceeds  days in a calendar year. A NRP whose stay exceeds  days is liable to tax on the income derived from his engagement in Singapore)</v>
      </c>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row>
    <row r="181" spans="2:60" ht="16.5">
      <c r="B181" s="1"/>
      <c r="C181" s="92"/>
      <c r="E181" s="92"/>
      <c r="F181" s="92"/>
      <c r="G181" s="92"/>
      <c r="H181" s="92"/>
      <c r="I181" s="92"/>
      <c r="J181" s="92"/>
      <c r="K181" s="92"/>
      <c r="L181" s="92"/>
      <c r="M181" s="92"/>
      <c r="P181" s="251"/>
      <c r="Q181" s="251"/>
      <c r="R181" s="251"/>
      <c r="S181" s="251"/>
      <c r="T181" s="251"/>
      <c r="U181" s="251"/>
      <c r="V181" s="251"/>
      <c r="W181" s="251"/>
      <c r="X181" s="251"/>
      <c r="Y181" s="251"/>
      <c r="Z181" s="251"/>
      <c r="AA181" s="251"/>
      <c r="AB181" s="251" t="s">
        <v>62</v>
      </c>
      <c r="AC181" s="251" t="str">
        <f>CONCATENATE("(The purpose of this calculator is to determine if the NRP's stay in Singapore exceeds ",VLOOKUP($AC$188,$AC$192:$AJ$288,$AJ$190,FALSE)," days within any 12 month period or in any period of 12 months commencing or ending in the calendar year / fiscal year / taxable period / year of income or basis period for YA). A NRP whose stay exceeds ",VLOOKUP($AC$188,$AC$192:$AJ$288,$AJ$190,FALSE)," days is liable to tax on the income derived from his engagement in Singapore)")</f>
        <v>(The purpose of this calculator is to determine if the NRP's stay in Singapore exceeds  days within any 12 month period or in any period of 12 months commencing or ending in the calendar year / fiscal year / taxable period / year of income or basis period for YA). A NRP whose stay exceeds  days is liable to tax on the income derived from his engagement in Singapore)</v>
      </c>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row>
    <row r="182" spans="2:60" ht="16.5">
      <c r="B182" s="1"/>
      <c r="C182" s="92"/>
      <c r="E182" s="92"/>
      <c r="F182" s="92"/>
      <c r="G182" s="92"/>
      <c r="H182" s="92"/>
      <c r="I182" s="92"/>
      <c r="J182" s="92"/>
      <c r="K182" s="92"/>
      <c r="L182" s="92"/>
      <c r="M182" s="92"/>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row>
    <row r="183" spans="2:60" ht="16.5">
      <c r="B183" s="1"/>
      <c r="C183" s="92"/>
      <c r="E183" s="92"/>
      <c r="F183" s="92"/>
      <c r="G183" s="92"/>
      <c r="H183" s="92"/>
      <c r="I183" s="92"/>
      <c r="J183" s="92"/>
      <c r="K183" s="92"/>
      <c r="L183" s="92"/>
      <c r="M183" s="92"/>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c r="AN183" s="251"/>
      <c r="AO183" s="251"/>
      <c r="AP183" s="251"/>
      <c r="AQ183" s="251"/>
      <c r="AR183" s="251"/>
      <c r="AS183" s="251"/>
      <c r="AT183" s="251"/>
      <c r="AU183" s="251"/>
      <c r="AV183" s="251"/>
      <c r="AW183" s="251"/>
      <c r="AX183" s="251"/>
      <c r="AY183" s="251"/>
      <c r="AZ183" s="251"/>
      <c r="BA183" s="251"/>
      <c r="BB183" s="251"/>
      <c r="BC183" s="251"/>
      <c r="BD183" s="251"/>
      <c r="BE183" s="251"/>
      <c r="BF183" s="251"/>
      <c r="BG183" s="251"/>
      <c r="BH183" s="251"/>
    </row>
    <row r="184" spans="2:60" ht="16.5">
      <c r="B184" s="1"/>
      <c r="C184" s="92"/>
      <c r="E184" s="92"/>
      <c r="F184" s="92"/>
      <c r="G184" s="92"/>
      <c r="H184" s="92"/>
      <c r="I184" s="92"/>
      <c r="J184" s="92"/>
      <c r="K184" s="92"/>
      <c r="L184" s="92"/>
      <c r="M184" s="92"/>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51"/>
      <c r="AP184" s="251"/>
      <c r="AQ184" s="251"/>
      <c r="AR184" s="251"/>
      <c r="AS184" s="251"/>
      <c r="AT184" s="251"/>
      <c r="AU184" s="251"/>
      <c r="AV184" s="251"/>
      <c r="AW184" s="251"/>
      <c r="AX184" s="251"/>
      <c r="AY184" s="251"/>
      <c r="AZ184" s="251"/>
      <c r="BA184" s="251"/>
      <c r="BB184" s="251"/>
      <c r="BC184" s="251"/>
      <c r="BD184" s="251"/>
      <c r="BE184" s="251"/>
      <c r="BF184" s="251"/>
      <c r="BG184" s="251"/>
      <c r="BH184" s="251"/>
    </row>
    <row r="185" spans="2:60" ht="16.5">
      <c r="B185" s="1"/>
      <c r="C185" s="92"/>
      <c r="E185" s="92"/>
      <c r="F185" s="92"/>
      <c r="G185" s="92"/>
      <c r="H185" s="92"/>
      <c r="I185" s="92"/>
      <c r="J185" s="92"/>
      <c r="K185" s="92"/>
      <c r="L185" s="92"/>
      <c r="M185" s="92"/>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51"/>
      <c r="BA185" s="251"/>
      <c r="BB185" s="251"/>
      <c r="BC185" s="251"/>
      <c r="BD185" s="251"/>
      <c r="BE185" s="251"/>
      <c r="BF185" s="251"/>
      <c r="BG185" s="251"/>
      <c r="BH185" s="251"/>
    </row>
    <row r="186" spans="2:60" ht="16.5">
      <c r="B186" s="1"/>
      <c r="C186" s="92"/>
      <c r="E186" s="92"/>
      <c r="F186" s="92"/>
      <c r="G186" s="92"/>
      <c r="H186" s="92"/>
      <c r="I186" s="92"/>
      <c r="J186" s="92"/>
      <c r="K186" s="92"/>
      <c r="L186" s="92"/>
      <c r="M186" s="92"/>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row>
    <row r="187" spans="2:60" ht="16.5">
      <c r="B187" s="1"/>
      <c r="C187" s="92"/>
      <c r="E187" s="92"/>
      <c r="F187" s="92"/>
      <c r="G187" s="92"/>
      <c r="H187" s="92"/>
      <c r="I187" s="92"/>
      <c r="J187" s="92"/>
      <c r="K187" s="92"/>
      <c r="L187" s="92"/>
      <c r="M187" s="92"/>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Q187" s="251"/>
      <c r="AR187" s="251"/>
      <c r="AS187" s="251"/>
      <c r="AT187" s="251"/>
      <c r="AU187" s="251"/>
      <c r="AV187" s="251"/>
      <c r="AW187" s="251"/>
      <c r="AX187" s="251"/>
      <c r="AY187" s="251"/>
      <c r="AZ187" s="251"/>
      <c r="BA187" s="251"/>
      <c r="BB187" s="251"/>
      <c r="BC187" s="251"/>
      <c r="BD187" s="251"/>
      <c r="BE187" s="251"/>
      <c r="BF187" s="251"/>
      <c r="BG187" s="251"/>
      <c r="BH187" s="251"/>
    </row>
    <row r="188" spans="2:60" ht="16.5">
      <c r="B188" s="1"/>
      <c r="C188" s="92"/>
      <c r="E188" s="92"/>
      <c r="F188" s="92"/>
      <c r="G188" s="92"/>
      <c r="H188" s="92"/>
      <c r="I188" s="92"/>
      <c r="J188" s="92"/>
      <c r="K188" s="92"/>
      <c r="L188" s="92"/>
      <c r="M188" s="92"/>
      <c r="P188" s="251"/>
      <c r="Q188" s="251"/>
      <c r="R188" s="251"/>
      <c r="S188" s="251"/>
      <c r="T188" s="251"/>
      <c r="U188" s="251"/>
      <c r="V188" s="251"/>
      <c r="W188" s="251"/>
      <c r="X188" s="251"/>
      <c r="Y188" s="251"/>
      <c r="Z188" s="251"/>
      <c r="AA188" s="251"/>
      <c r="AB188" s="251"/>
      <c r="AC188" s="440">
        <f>IF(I9="","",I9)</f>
      </c>
      <c r="AD188" s="440"/>
      <c r="AE188" s="440"/>
      <c r="AF188" s="251"/>
      <c r="AG188" s="251"/>
      <c r="AH188" s="251"/>
      <c r="AI188" s="251"/>
      <c r="AJ188" s="251"/>
      <c r="AK188" s="251"/>
      <c r="AL188" s="251"/>
      <c r="AM188" s="251"/>
      <c r="AN188" s="251"/>
      <c r="AO188" s="251"/>
      <c r="AP188" s="251"/>
      <c r="AQ188" s="251"/>
      <c r="AR188" s="251"/>
      <c r="AS188" s="251"/>
      <c r="AT188" s="251"/>
      <c r="AU188" s="251"/>
      <c r="AV188" s="251"/>
      <c r="AW188" s="251"/>
      <c r="AX188" s="251"/>
      <c r="AY188" s="251"/>
      <c r="AZ188" s="251"/>
      <c r="BA188" s="251"/>
      <c r="BB188" s="251"/>
      <c r="BC188" s="251"/>
      <c r="BD188" s="251"/>
      <c r="BE188" s="251"/>
      <c r="BF188" s="251"/>
      <c r="BG188" s="251"/>
      <c r="BH188" s="251"/>
    </row>
    <row r="189" spans="2:60" ht="16.5">
      <c r="B189" s="1"/>
      <c r="C189" s="92"/>
      <c r="E189" s="92"/>
      <c r="F189" s="92"/>
      <c r="G189" s="92"/>
      <c r="H189" s="92"/>
      <c r="I189" s="92"/>
      <c r="J189" s="92"/>
      <c r="K189" s="92"/>
      <c r="L189" s="92"/>
      <c r="M189" s="92"/>
      <c r="P189" s="251"/>
      <c r="Q189" s="251"/>
      <c r="R189" s="251"/>
      <c r="S189" s="251"/>
      <c r="T189" s="251"/>
      <c r="U189" s="251"/>
      <c r="V189" s="251"/>
      <c r="W189" s="251"/>
      <c r="X189" s="251"/>
      <c r="Y189" s="251"/>
      <c r="Z189" s="251"/>
      <c r="AA189" s="251"/>
      <c r="AB189" s="251"/>
      <c r="AC189" s="284" t="s">
        <v>80</v>
      </c>
      <c r="AD189" s="439" t="s">
        <v>81</v>
      </c>
      <c r="AE189" s="439"/>
      <c r="AF189" s="439"/>
      <c r="AG189" s="439"/>
      <c r="AH189" s="439"/>
      <c r="AI189" s="439"/>
      <c r="AJ189" s="439"/>
      <c r="AK189" s="439"/>
      <c r="AL189" s="285"/>
      <c r="AM189" s="251"/>
      <c r="AN189" s="251"/>
      <c r="AO189" s="251"/>
      <c r="AP189" s="251"/>
      <c r="AQ189" s="251"/>
      <c r="AR189" s="251"/>
      <c r="AS189" s="251"/>
      <c r="AT189" s="251"/>
      <c r="AU189" s="251"/>
      <c r="AV189" s="251"/>
      <c r="AW189" s="251"/>
      <c r="AX189" s="251"/>
      <c r="AY189" s="251"/>
      <c r="AZ189" s="251"/>
      <c r="BA189" s="251"/>
      <c r="BB189" s="251"/>
      <c r="BC189" s="251"/>
      <c r="BD189" s="251"/>
      <c r="BE189" s="251"/>
      <c r="BF189" s="251"/>
      <c r="BG189" s="251"/>
      <c r="BH189" s="251"/>
    </row>
    <row r="190" spans="2:60" ht="16.5">
      <c r="B190" s="1"/>
      <c r="C190" s="92"/>
      <c r="E190" s="92"/>
      <c r="F190" s="92"/>
      <c r="G190" s="92"/>
      <c r="H190" s="92"/>
      <c r="I190" s="92"/>
      <c r="J190" s="92"/>
      <c r="K190" s="92"/>
      <c r="L190" s="92"/>
      <c r="M190" s="92"/>
      <c r="P190" s="251"/>
      <c r="Q190" s="251"/>
      <c r="R190" s="251"/>
      <c r="S190" s="251"/>
      <c r="T190" s="251"/>
      <c r="U190" s="251"/>
      <c r="V190" s="251"/>
      <c r="W190" s="251"/>
      <c r="X190" s="251"/>
      <c r="Y190" s="251"/>
      <c r="Z190" s="251"/>
      <c r="AA190" s="251"/>
      <c r="AB190" s="251"/>
      <c r="AC190" s="284">
        <v>1</v>
      </c>
      <c r="AD190" s="285">
        <f>AC190+1</f>
        <v>2</v>
      </c>
      <c r="AE190" s="285">
        <f>AD190+1</f>
        <v>3</v>
      </c>
      <c r="AF190" s="285">
        <f aca="true" t="shared" si="14" ref="AF190:AK190">AE190+1</f>
        <v>4</v>
      </c>
      <c r="AG190" s="285">
        <f t="shared" si="14"/>
        <v>5</v>
      </c>
      <c r="AH190" s="285">
        <f t="shared" si="14"/>
        <v>6</v>
      </c>
      <c r="AI190" s="285">
        <f t="shared" si="14"/>
        <v>7</v>
      </c>
      <c r="AJ190" s="285">
        <f t="shared" si="14"/>
        <v>8</v>
      </c>
      <c r="AK190" s="285">
        <f t="shared" si="14"/>
        <v>9</v>
      </c>
      <c r="AL190" s="285">
        <f aca="true" t="shared" si="15" ref="AL190:AQ190">AK190+1</f>
        <v>10</v>
      </c>
      <c r="AM190" s="285">
        <f t="shared" si="15"/>
        <v>11</v>
      </c>
      <c r="AN190" s="285">
        <f t="shared" si="15"/>
        <v>12</v>
      </c>
      <c r="AO190" s="286">
        <f t="shared" si="15"/>
        <v>13</v>
      </c>
      <c r="AP190" s="285">
        <f t="shared" si="15"/>
        <v>14</v>
      </c>
      <c r="AQ190" s="285">
        <f t="shared" si="15"/>
        <v>15</v>
      </c>
      <c r="AR190" s="251"/>
      <c r="AS190" s="251"/>
      <c r="AT190" s="251"/>
      <c r="AU190" s="251"/>
      <c r="AV190" s="251"/>
      <c r="AW190" s="251"/>
      <c r="AX190" s="251"/>
      <c r="AY190" s="251"/>
      <c r="AZ190" s="251"/>
      <c r="BA190" s="251"/>
      <c r="BB190" s="251"/>
      <c r="BC190" s="251"/>
      <c r="BD190" s="251"/>
      <c r="BE190" s="251"/>
      <c r="BF190" s="251"/>
      <c r="BG190" s="251"/>
      <c r="BH190" s="251"/>
    </row>
    <row r="191" spans="2:60" ht="67.5">
      <c r="B191" s="1"/>
      <c r="C191" s="92"/>
      <c r="E191" s="92"/>
      <c r="F191" s="92"/>
      <c r="G191" s="92"/>
      <c r="H191" s="92"/>
      <c r="I191" s="92"/>
      <c r="J191" s="92"/>
      <c r="K191" s="92"/>
      <c r="L191" s="92"/>
      <c r="M191" s="92"/>
      <c r="P191" s="251"/>
      <c r="Q191" s="251"/>
      <c r="R191" s="251"/>
      <c r="S191" s="251"/>
      <c r="T191" s="251"/>
      <c r="U191" s="251"/>
      <c r="V191" s="251"/>
      <c r="W191" s="251"/>
      <c r="X191" s="251"/>
      <c r="Y191" s="251"/>
      <c r="Z191" s="251"/>
      <c r="AA191" s="251"/>
      <c r="AB191" s="251"/>
      <c r="AC191" s="284" t="s">
        <v>293</v>
      </c>
      <c r="AD191" s="285" t="s">
        <v>82</v>
      </c>
      <c r="AE191" s="285" t="s">
        <v>83</v>
      </c>
      <c r="AF191" s="286" t="s">
        <v>211</v>
      </c>
      <c r="AG191" s="286" t="s">
        <v>212</v>
      </c>
      <c r="AH191" s="286" t="s">
        <v>213</v>
      </c>
      <c r="AI191" s="286" t="s">
        <v>214</v>
      </c>
      <c r="AJ191" s="286" t="s">
        <v>84</v>
      </c>
      <c r="AK191" s="286" t="s">
        <v>215</v>
      </c>
      <c r="AL191" s="286" t="s">
        <v>330</v>
      </c>
      <c r="AM191" s="275" t="s">
        <v>85</v>
      </c>
      <c r="AN191" s="275" t="s">
        <v>86</v>
      </c>
      <c r="AO191" s="286" t="s">
        <v>276</v>
      </c>
      <c r="AP191" s="275"/>
      <c r="AQ191" s="275" t="s">
        <v>331</v>
      </c>
      <c r="AR191" s="251"/>
      <c r="AS191" s="251"/>
      <c r="AT191" s="251"/>
      <c r="AU191" s="251"/>
      <c r="AV191" s="251"/>
      <c r="AW191" s="251"/>
      <c r="AX191" s="251"/>
      <c r="AY191" s="251"/>
      <c r="AZ191" s="251"/>
      <c r="BA191" s="251"/>
      <c r="BB191" s="251"/>
      <c r="BC191" s="251"/>
      <c r="BD191" s="251"/>
      <c r="BE191" s="251"/>
      <c r="BF191" s="251"/>
      <c r="BG191" s="251"/>
      <c r="BH191" s="251"/>
    </row>
    <row r="192" spans="2:60" ht="16.5">
      <c r="B192" s="1"/>
      <c r="C192" s="92"/>
      <c r="E192" s="92"/>
      <c r="F192" s="92"/>
      <c r="G192" s="92"/>
      <c r="H192" s="92"/>
      <c r="I192" s="92"/>
      <c r="J192" s="92"/>
      <c r="K192" s="92"/>
      <c r="L192" s="92"/>
      <c r="M192" s="92"/>
      <c r="P192" s="251"/>
      <c r="Q192" s="251"/>
      <c r="R192" s="251"/>
      <c r="S192" s="251"/>
      <c r="T192" s="251"/>
      <c r="U192" s="251"/>
      <c r="V192" s="251"/>
      <c r="W192" s="251"/>
      <c r="X192" s="251"/>
      <c r="Y192" s="251"/>
      <c r="Z192" s="251"/>
      <c r="AA192" s="251"/>
      <c r="AB192" s="251"/>
      <c r="AC192" s="287">
        <f>""</f>
      </c>
      <c r="AD192" s="288"/>
      <c r="AE192" s="288"/>
      <c r="AF192" s="288"/>
      <c r="AG192" s="288"/>
      <c r="AH192" s="288"/>
      <c r="AI192" s="288"/>
      <c r="AJ192" s="288"/>
      <c r="AK192" s="288"/>
      <c r="AL192" s="289"/>
      <c r="AM192" s="251"/>
      <c r="AN192" s="251"/>
      <c r="AO192" s="290"/>
      <c r="AP192" s="287"/>
      <c r="AQ192" s="251">
        <f>""</f>
      </c>
      <c r="AR192" s="251"/>
      <c r="AS192" s="251"/>
      <c r="AT192" s="251"/>
      <c r="AU192" s="251"/>
      <c r="AV192" s="251"/>
      <c r="AW192" s="251"/>
      <c r="AX192" s="251"/>
      <c r="AY192" s="251"/>
      <c r="AZ192" s="251"/>
      <c r="BA192" s="251"/>
      <c r="BB192" s="251"/>
      <c r="BC192" s="251"/>
      <c r="BD192" s="251"/>
      <c r="BE192" s="251"/>
      <c r="BF192" s="251"/>
      <c r="BG192" s="251"/>
      <c r="BH192" s="251"/>
    </row>
    <row r="193" spans="2:60" ht="16.5">
      <c r="B193" s="1"/>
      <c r="C193" s="92"/>
      <c r="E193" s="92"/>
      <c r="F193" s="92"/>
      <c r="G193" s="92"/>
      <c r="H193" s="92"/>
      <c r="I193" s="92"/>
      <c r="J193" s="92"/>
      <c r="K193" s="92"/>
      <c r="L193" s="92"/>
      <c r="M193" s="92"/>
      <c r="P193" s="251"/>
      <c r="Q193" s="251"/>
      <c r="R193" s="251"/>
      <c r="S193" s="251"/>
      <c r="T193" s="251"/>
      <c r="U193" s="251"/>
      <c r="V193" s="251"/>
      <c r="W193" s="251"/>
      <c r="X193" s="251"/>
      <c r="Y193" s="251"/>
      <c r="Z193" s="251"/>
      <c r="AA193" s="251"/>
      <c r="AB193" s="251"/>
      <c r="AC193" s="287" t="s">
        <v>189</v>
      </c>
      <c r="AD193" s="291"/>
      <c r="AE193" s="288" t="s">
        <v>90</v>
      </c>
      <c r="AF193" s="288"/>
      <c r="AG193" s="288">
        <v>183</v>
      </c>
      <c r="AH193" s="288"/>
      <c r="AI193" s="288"/>
      <c r="AJ193" s="288">
        <f>SUM(AF193:AI193)</f>
        <v>183</v>
      </c>
      <c r="AK193" s="288"/>
      <c r="AL193" s="289"/>
      <c r="AM193" s="251" t="str">
        <f>IF(OR(ISBLANK(AF193)=FALSE,ISBLANK(AK193)=FALSE)=TRUE,"Calendar",IF(OR(ISBLANK(AG193)=FALSE,ISBLANK(AH193)=FALSE,ISBLANK(AI193)=FALSE)=TRUE,"Moving",""))</f>
        <v>Moving</v>
      </c>
      <c r="AN193" s="251" t="str">
        <f>IF(ISBLANK(AK193)=FALSE,$AC$152,IF(ISBLANK(AH193)=FALSE,$AC$153,IF(OR(ISBLANK(AG193)=FALSE,ISBLANK(AF193)=FALSE,ISBLANK(AI193)=FALSE)=TRUE,$AC$151,IF(ISBLANK(AE193)=FALSE,$AC$150,IF(ISBLANK(AD193)=FALSE,$AC$149,$AC$154)))))</f>
        <v>Please answer question 2a and complete section 3.</v>
      </c>
      <c r="AO193" s="290"/>
      <c r="AP193" s="287" t="str">
        <f>AC193</f>
        <v>Albania</v>
      </c>
      <c r="AQ193" s="251" t="str">
        <f ca="1">IF(OR(VLOOKUP($AN193,$AC$149:$AD$157,2,FALSE)=$AD$149,VLOOKUP($AN193,$AC$149:$AD$157,2,FALSE)=$AD$154,VLOOKUP($AN193,$AC$149:$AD$157,2,FALSE)=$AD$155,YEAR($AO193)&lt;&gt;YEAR(TODAY())),VLOOKUP($AN193,$AC$149:$AD$157,2,FALSE),CONCATENATE("With effect from ",DAY($AO193)," Jan ",YEAR($AO193),", t",RIGHT(VLOOKUP($AN193,$AC$149:$AD$157,2,FALSE),LEN(VLOOKUP($AN193,$AC$149:$AD$157,2,FALSE))-1)))</f>
        <v>To qualify for tax exemption, you must not have a fixed base in Singapore and your physical presence in any 12-month period must not exceed  days.</v>
      </c>
      <c r="AR193" s="251"/>
      <c r="AS193" s="251"/>
      <c r="AT193" s="251"/>
      <c r="AU193" s="251"/>
      <c r="AV193" s="251"/>
      <c r="AW193" s="251"/>
      <c r="AX193" s="251"/>
      <c r="AY193" s="251"/>
      <c r="AZ193" s="251"/>
      <c r="BA193" s="251"/>
      <c r="BB193" s="251"/>
      <c r="BC193" s="251"/>
      <c r="BD193" s="251"/>
      <c r="BE193" s="251"/>
      <c r="BF193" s="251"/>
      <c r="BG193" s="251"/>
      <c r="BH193" s="251"/>
    </row>
    <row r="194" spans="2:60" ht="16.5">
      <c r="B194" s="1"/>
      <c r="C194" s="92"/>
      <c r="E194" s="92"/>
      <c r="F194" s="92"/>
      <c r="G194" s="92"/>
      <c r="H194" s="92"/>
      <c r="I194" s="92"/>
      <c r="J194" s="92"/>
      <c r="K194" s="92"/>
      <c r="L194" s="92"/>
      <c r="M194" s="92"/>
      <c r="P194" s="251"/>
      <c r="Q194" s="251"/>
      <c r="R194" s="251"/>
      <c r="S194" s="251"/>
      <c r="T194" s="251"/>
      <c r="U194" s="251"/>
      <c r="V194" s="251"/>
      <c r="W194" s="251"/>
      <c r="X194" s="251"/>
      <c r="Y194" s="251"/>
      <c r="Z194" s="251"/>
      <c r="AA194" s="251"/>
      <c r="AB194" s="251"/>
      <c r="AC194" s="287" t="s">
        <v>319</v>
      </c>
      <c r="AD194" s="291"/>
      <c r="AE194" s="288" t="s">
        <v>90</v>
      </c>
      <c r="AF194" s="288"/>
      <c r="AG194" s="288">
        <v>183</v>
      </c>
      <c r="AH194" s="288"/>
      <c r="AI194" s="288"/>
      <c r="AJ194" s="288">
        <f>SUM(AF194:AI194)</f>
        <v>183</v>
      </c>
      <c r="AK194" s="288"/>
      <c r="AL194" s="289"/>
      <c r="AM194" s="251" t="str">
        <f>IF(OR(ISBLANK(AF194)=FALSE,ISBLANK(AK194)=FALSE)=TRUE,"Calendar",IF(OR(ISBLANK(AG194)=FALSE,ISBLANK(AH194)=FALSE,ISBLANK(AI194)=FALSE)=TRUE,"Moving",""))</f>
        <v>Moving</v>
      </c>
      <c r="AN194" s="251" t="str">
        <f>IF(ISBLANK(AK194)=FALSE,$AC$152,IF(ISBLANK(AH194)=FALSE,$AC$153,IF(OR(ISBLANK(AG194)=FALSE,ISBLANK(AF194)=FALSE,ISBLANK(AI194)=FALSE)=TRUE,$AC$151,IF(ISBLANK(AE194)=FALSE,$AC$150,IF(ISBLANK(AD194)=FALSE,$AC$149,$AC$154)))))</f>
        <v>Please answer question 2a and complete section 3.</v>
      </c>
      <c r="AO194" s="290">
        <v>44562</v>
      </c>
      <c r="AP194" s="287" t="str">
        <f>AC194</f>
        <v>Armenia</v>
      </c>
      <c r="AQ194" s="251" t="str">
        <f aca="true" ca="1" t="shared" si="16" ref="AQ194:AQ204">IF(OR(VLOOKUP($AN194,$AC$149:$AD$157,2,FALSE)=$AD$149,VLOOKUP($AN194,$AC$149:$AD$157,2,FALSE)=$AD$154,VLOOKUP($AN194,$AC$149:$AD$157,2,FALSE)=$AD$155,YEAR($AO194)&lt;&gt;YEAR(TODAY())),VLOOKUP($AN194,$AC$149:$AD$157,2,FALSE),CONCATENATE("With effect from ",DAY($AO194)," Jan ",YEAR($AO194),", t",RIGHT(VLOOKUP($AN194,$AC$149:$AD$157,2,FALSE),LEN(VLOOKUP($AN194,$AC$149:$AD$157,2,FALSE))-1)))</f>
        <v>With effect from 1 Jan 2022, to qualify for tax exemption, you must not have a fixed base in Singapore and your physical presence in any 12-month period must not exceed  days.</v>
      </c>
      <c r="AR194" s="251"/>
      <c r="AS194" s="251"/>
      <c r="AT194" s="251"/>
      <c r="AU194" s="251"/>
      <c r="AV194" s="251"/>
      <c r="AW194" s="251"/>
      <c r="AX194" s="251"/>
      <c r="AY194" s="251"/>
      <c r="AZ194" s="251"/>
      <c r="BA194" s="251"/>
      <c r="BB194" s="251"/>
      <c r="BC194" s="251"/>
      <c r="BD194" s="251"/>
      <c r="BE194" s="251"/>
      <c r="BF194" s="251"/>
      <c r="BG194" s="251"/>
      <c r="BH194" s="251"/>
    </row>
    <row r="195" spans="2:60" ht="16.5">
      <c r="B195" s="1"/>
      <c r="C195" s="92"/>
      <c r="E195" s="92"/>
      <c r="F195" s="92"/>
      <c r="G195" s="92"/>
      <c r="H195" s="92"/>
      <c r="I195" s="92"/>
      <c r="J195" s="92"/>
      <c r="K195" s="92"/>
      <c r="L195" s="92"/>
      <c r="M195" s="92"/>
      <c r="P195" s="251"/>
      <c r="Q195" s="251"/>
      <c r="R195" s="251"/>
      <c r="S195" s="251"/>
      <c r="T195" s="251"/>
      <c r="U195" s="251"/>
      <c r="V195" s="251"/>
      <c r="W195" s="251"/>
      <c r="X195" s="251"/>
      <c r="Y195" s="251"/>
      <c r="Z195" s="251"/>
      <c r="AA195" s="251"/>
      <c r="AB195" s="251"/>
      <c r="AC195" s="287" t="s">
        <v>87</v>
      </c>
      <c r="AD195" s="291" t="s">
        <v>88</v>
      </c>
      <c r="AE195" s="288"/>
      <c r="AF195" s="288"/>
      <c r="AG195" s="288"/>
      <c r="AH195" s="288"/>
      <c r="AI195" s="288"/>
      <c r="AJ195" s="288">
        <f aca="true" t="shared" si="17" ref="AJ195:AJ278">SUM(AF195:AI195)</f>
        <v>0</v>
      </c>
      <c r="AK195" s="288"/>
      <c r="AL195" s="289"/>
      <c r="AM195" s="251">
        <f aca="true" t="shared" si="18" ref="AM195:AM206">IF(OR(ISBLANK(AF195)=FALSE,ISBLANK(AK195)=FALSE)=TRUE,"Calendar",IF(OR(ISBLANK(AG195)=FALSE,ISBLANK(AH195)=FALSE,ISBLANK(AI195)=FALSE)=TRUE,"Moving",""))</f>
      </c>
      <c r="AN195" s="251" t="str">
        <f aca="true" t="shared" si="19" ref="AN195:AN206">IF(ISBLANK(AK195)=FALSE,$AC$152,IF(ISBLANK(AH195)=FALSE,$AC$153,IF(OR(ISBLANK(AG195)=FALSE,ISBLANK(AF195)=FALSE,ISBLANK(AI195)=FALSE)=TRUE,$AC$151,IF(ISBLANK(AE195)=FALSE,$AC$150,IF(ISBLANK(AD195)=FALSE,$AC$149,$AC$154)))))</f>
        <v>None - Assume Cost Borne</v>
      </c>
      <c r="AO195" s="290"/>
      <c r="AP195" s="287" t="str">
        <f aca="true" t="shared" si="20" ref="AP195:AP233">AC195</f>
        <v>Australia</v>
      </c>
      <c r="AQ195" s="251" t="str">
        <f ca="1" t="shared" si="16"/>
        <v>You do not qualify for tax exemption as your income is borne/paid by a Singapore entity.</v>
      </c>
      <c r="AR195" s="251"/>
      <c r="AS195" s="251"/>
      <c r="AT195" s="251"/>
      <c r="AU195" s="251"/>
      <c r="AV195" s="251"/>
      <c r="AW195" s="251"/>
      <c r="AX195" s="251"/>
      <c r="AY195" s="251"/>
      <c r="AZ195" s="251"/>
      <c r="BA195" s="251"/>
      <c r="BB195" s="251"/>
      <c r="BC195" s="251"/>
      <c r="BD195" s="251"/>
      <c r="BE195" s="251"/>
      <c r="BF195" s="251"/>
      <c r="BG195" s="251"/>
      <c r="BH195" s="251"/>
    </row>
    <row r="196" spans="2:60" ht="16.5">
      <c r="B196" s="1"/>
      <c r="C196" s="92"/>
      <c r="E196" s="92"/>
      <c r="F196" s="92"/>
      <c r="G196" s="92"/>
      <c r="H196" s="92"/>
      <c r="I196" s="92"/>
      <c r="J196" s="92"/>
      <c r="K196" s="92"/>
      <c r="L196" s="92"/>
      <c r="M196" s="92"/>
      <c r="P196" s="251"/>
      <c r="Q196" s="251"/>
      <c r="R196" s="251"/>
      <c r="S196" s="251"/>
      <c r="T196" s="251"/>
      <c r="U196" s="251"/>
      <c r="V196" s="251"/>
      <c r="W196" s="251"/>
      <c r="X196" s="251"/>
      <c r="Y196" s="251"/>
      <c r="Z196" s="251"/>
      <c r="AA196" s="251"/>
      <c r="AB196" s="251"/>
      <c r="AC196" s="292" t="s">
        <v>89</v>
      </c>
      <c r="AD196" s="288"/>
      <c r="AE196" s="288" t="s">
        <v>90</v>
      </c>
      <c r="AF196" s="288"/>
      <c r="AG196" s="288">
        <v>183</v>
      </c>
      <c r="AH196" s="288"/>
      <c r="AI196" s="288"/>
      <c r="AJ196" s="288">
        <f t="shared" si="17"/>
        <v>183</v>
      </c>
      <c r="AK196" s="288"/>
      <c r="AL196" s="289"/>
      <c r="AM196" s="251" t="str">
        <f t="shared" si="18"/>
        <v>Moving</v>
      </c>
      <c r="AN196" s="251" t="str">
        <f t="shared" si="19"/>
        <v>Please answer question 2a and complete section 3.</v>
      </c>
      <c r="AO196" s="290"/>
      <c r="AP196" s="292" t="str">
        <f t="shared" si="20"/>
        <v>Austria</v>
      </c>
      <c r="AQ196" s="251" t="str">
        <f ca="1" t="shared" si="16"/>
        <v>To qualify for tax exemption, you must not have a fixed base in Singapore and your physical presence in any 12-month period must not exceed  days.</v>
      </c>
      <c r="AR196" s="251"/>
      <c r="AS196" s="251"/>
      <c r="AT196" s="251"/>
      <c r="AU196" s="251"/>
      <c r="AV196" s="251"/>
      <c r="AW196" s="251"/>
      <c r="AX196" s="251"/>
      <c r="AY196" s="251"/>
      <c r="AZ196" s="251"/>
      <c r="BA196" s="251"/>
      <c r="BB196" s="251"/>
      <c r="BC196" s="251"/>
      <c r="BD196" s="251"/>
      <c r="BE196" s="251"/>
      <c r="BF196" s="251"/>
      <c r="BG196" s="251"/>
      <c r="BH196" s="251"/>
    </row>
    <row r="197" spans="2:60" ht="16.5">
      <c r="B197" s="1"/>
      <c r="C197" s="92"/>
      <c r="E197" s="92"/>
      <c r="F197" s="92"/>
      <c r="G197" s="92"/>
      <c r="H197" s="92"/>
      <c r="I197" s="92"/>
      <c r="J197" s="92"/>
      <c r="K197" s="92"/>
      <c r="L197" s="92"/>
      <c r="M197" s="92"/>
      <c r="P197" s="251"/>
      <c r="Q197" s="251"/>
      <c r="R197" s="251"/>
      <c r="S197" s="251"/>
      <c r="T197" s="251"/>
      <c r="U197" s="251"/>
      <c r="V197" s="251"/>
      <c r="W197" s="251"/>
      <c r="X197" s="251"/>
      <c r="Y197" s="251"/>
      <c r="Z197" s="251"/>
      <c r="AA197" s="251"/>
      <c r="AB197" s="251"/>
      <c r="AC197" s="292" t="s">
        <v>225</v>
      </c>
      <c r="AD197" s="291"/>
      <c r="AE197" s="288" t="s">
        <v>90</v>
      </c>
      <c r="AF197" s="288"/>
      <c r="AG197" s="288"/>
      <c r="AH197" s="288"/>
      <c r="AI197" s="288">
        <v>365</v>
      </c>
      <c r="AJ197" s="288">
        <f>SUM(AF197:AI197)</f>
        <v>365</v>
      </c>
      <c r="AK197" s="288"/>
      <c r="AL197" s="289"/>
      <c r="AM197" s="251" t="str">
        <f>IF(OR(ISBLANK(AF197)=FALSE,ISBLANK(AK197)=FALSE)=TRUE,"Calendar",IF(OR(ISBLANK(AG197)=FALSE,ISBLANK(AH197)=FALSE,ISBLANK(AI197)=FALSE)=TRUE,"Moving",""))</f>
        <v>Moving</v>
      </c>
      <c r="AN197" s="251" t="str">
        <f t="shared" si="19"/>
        <v>Please answer question 2a and complete section 3.</v>
      </c>
      <c r="AO197" s="290"/>
      <c r="AP197" s="287" t="str">
        <f>AC197</f>
        <v>Barbados</v>
      </c>
      <c r="AQ197" s="251" t="str">
        <f ca="1" t="shared" si="16"/>
        <v>To qualify for tax exemption, you must not have a fixed base in Singapore and your physical presence in any 12-month period must not exceed  days.</v>
      </c>
      <c r="AR197" s="251"/>
      <c r="AS197" s="251"/>
      <c r="AT197" s="251"/>
      <c r="AU197" s="251"/>
      <c r="AV197" s="251"/>
      <c r="AW197" s="251"/>
      <c r="AX197" s="251"/>
      <c r="AY197" s="251"/>
      <c r="AZ197" s="251"/>
      <c r="BA197" s="251"/>
      <c r="BB197" s="251"/>
      <c r="BC197" s="251"/>
      <c r="BD197" s="251"/>
      <c r="BE197" s="251"/>
      <c r="BF197" s="251"/>
      <c r="BG197" s="251"/>
      <c r="BH197" s="251"/>
    </row>
    <row r="198" spans="2:60" ht="16.5">
      <c r="B198" s="1"/>
      <c r="C198" s="92"/>
      <c r="E198" s="92"/>
      <c r="F198" s="92"/>
      <c r="G198" s="92"/>
      <c r="H198" s="92"/>
      <c r="I198" s="92"/>
      <c r="J198" s="92"/>
      <c r="K198" s="92"/>
      <c r="L198" s="92"/>
      <c r="M198" s="92"/>
      <c r="P198" s="251"/>
      <c r="Q198" s="251"/>
      <c r="R198" s="251"/>
      <c r="S198" s="251"/>
      <c r="T198" s="251"/>
      <c r="U198" s="251"/>
      <c r="V198" s="251"/>
      <c r="W198" s="251"/>
      <c r="X198" s="251"/>
      <c r="Y198" s="251"/>
      <c r="Z198" s="251"/>
      <c r="AA198" s="251"/>
      <c r="AB198" s="251"/>
      <c r="AC198" s="287" t="s">
        <v>91</v>
      </c>
      <c r="AD198" s="288"/>
      <c r="AE198" s="288" t="s">
        <v>90</v>
      </c>
      <c r="AF198" s="288">
        <v>183</v>
      </c>
      <c r="AG198" s="288"/>
      <c r="AH198" s="288"/>
      <c r="AI198" s="288"/>
      <c r="AJ198" s="288">
        <f t="shared" si="17"/>
        <v>183</v>
      </c>
      <c r="AK198" s="288"/>
      <c r="AL198" s="289"/>
      <c r="AM198" s="251" t="str">
        <f t="shared" si="18"/>
        <v>Calendar</v>
      </c>
      <c r="AN198" s="251" t="str">
        <f t="shared" si="19"/>
        <v>Please answer question 2a and complete section 3.</v>
      </c>
      <c r="AO198" s="290"/>
      <c r="AP198" s="287" t="str">
        <f t="shared" si="20"/>
        <v>Bahrain</v>
      </c>
      <c r="AQ198" s="251" t="str">
        <f ca="1" t="shared" si="16"/>
        <v>To qualify for tax exemption, you must not have a fixed base in Singapore and your physical presence in any 12-month period must not exceed  days.</v>
      </c>
      <c r="AR198" s="251"/>
      <c r="AS198" s="251"/>
      <c r="AT198" s="251"/>
      <c r="AU198" s="251"/>
      <c r="AV198" s="251"/>
      <c r="AW198" s="251"/>
      <c r="AX198" s="251"/>
      <c r="AY198" s="251"/>
      <c r="AZ198" s="251"/>
      <c r="BA198" s="251"/>
      <c r="BB198" s="251"/>
      <c r="BC198" s="251"/>
      <c r="BD198" s="251"/>
      <c r="BE198" s="251"/>
      <c r="BF198" s="251"/>
      <c r="BG198" s="251"/>
      <c r="BH198" s="251"/>
    </row>
    <row r="199" spans="2:60" ht="16.5">
      <c r="B199" s="1"/>
      <c r="C199" s="92"/>
      <c r="E199" s="92"/>
      <c r="F199" s="92"/>
      <c r="G199" s="92"/>
      <c r="H199" s="92"/>
      <c r="I199" s="92"/>
      <c r="J199" s="92"/>
      <c r="K199" s="92"/>
      <c r="L199" s="92"/>
      <c r="M199" s="92"/>
      <c r="P199" s="251"/>
      <c r="Q199" s="251"/>
      <c r="R199" s="251"/>
      <c r="S199" s="251"/>
      <c r="T199" s="251"/>
      <c r="U199" s="251"/>
      <c r="V199" s="251"/>
      <c r="W199" s="251"/>
      <c r="X199" s="251"/>
      <c r="Y199" s="251"/>
      <c r="Z199" s="251"/>
      <c r="AA199" s="251"/>
      <c r="AB199" s="251"/>
      <c r="AC199" s="287" t="s">
        <v>92</v>
      </c>
      <c r="AD199" s="291" t="s">
        <v>88</v>
      </c>
      <c r="AE199" s="288"/>
      <c r="AF199" s="288"/>
      <c r="AG199" s="288"/>
      <c r="AH199" s="288"/>
      <c r="AI199" s="288"/>
      <c r="AJ199" s="288">
        <f t="shared" si="17"/>
        <v>0</v>
      </c>
      <c r="AK199" s="288"/>
      <c r="AL199" s="289"/>
      <c r="AM199" s="251">
        <f t="shared" si="18"/>
      </c>
      <c r="AN199" s="251" t="str">
        <f t="shared" si="19"/>
        <v>None - Assume Cost Borne</v>
      </c>
      <c r="AO199" s="290"/>
      <c r="AP199" s="287" t="str">
        <f t="shared" si="20"/>
        <v>Bangladesh</v>
      </c>
      <c r="AQ199" s="251" t="str">
        <f ca="1" t="shared" si="16"/>
        <v>You do not qualify for tax exemption as your income is borne/paid by a Singapore entity.</v>
      </c>
      <c r="AR199" s="251"/>
      <c r="AS199" s="251"/>
      <c r="AT199" s="251"/>
      <c r="AU199" s="251"/>
      <c r="AV199" s="251"/>
      <c r="AW199" s="251"/>
      <c r="AX199" s="251"/>
      <c r="AY199" s="251"/>
      <c r="AZ199" s="251"/>
      <c r="BA199" s="251"/>
      <c r="BB199" s="251"/>
      <c r="BC199" s="251"/>
      <c r="BD199" s="251"/>
      <c r="BE199" s="251"/>
      <c r="BF199" s="251"/>
      <c r="BG199" s="251"/>
      <c r="BH199" s="251"/>
    </row>
    <row r="200" spans="2:60" ht="16.5">
      <c r="B200" s="1"/>
      <c r="C200" s="92"/>
      <c r="E200" s="92"/>
      <c r="F200" s="92"/>
      <c r="G200" s="92"/>
      <c r="H200" s="92"/>
      <c r="I200" s="92"/>
      <c r="J200" s="92"/>
      <c r="K200" s="92"/>
      <c r="L200" s="92"/>
      <c r="M200" s="92"/>
      <c r="P200" s="251"/>
      <c r="Q200" s="251"/>
      <c r="R200" s="251"/>
      <c r="S200" s="251"/>
      <c r="T200" s="251"/>
      <c r="U200" s="251"/>
      <c r="V200" s="251"/>
      <c r="W200" s="251"/>
      <c r="X200" s="251"/>
      <c r="Y200" s="251"/>
      <c r="Z200" s="251"/>
      <c r="AA200" s="251"/>
      <c r="AB200" s="251"/>
      <c r="AC200" s="287" t="s">
        <v>218</v>
      </c>
      <c r="AD200" s="291"/>
      <c r="AE200" s="288" t="s">
        <v>90</v>
      </c>
      <c r="AF200" s="288"/>
      <c r="AG200" s="288">
        <v>270</v>
      </c>
      <c r="AH200" s="288"/>
      <c r="AI200" s="288"/>
      <c r="AJ200" s="288">
        <f t="shared" si="17"/>
        <v>270</v>
      </c>
      <c r="AK200" s="288"/>
      <c r="AL200" s="289"/>
      <c r="AM200" s="251" t="str">
        <f t="shared" si="18"/>
        <v>Moving</v>
      </c>
      <c r="AN200" s="251" t="str">
        <f t="shared" si="19"/>
        <v>Please answer question 2a and complete section 3.</v>
      </c>
      <c r="AO200" s="290"/>
      <c r="AP200" s="287" t="str">
        <f t="shared" si="20"/>
        <v>Belarus</v>
      </c>
      <c r="AQ200" s="251" t="str">
        <f ca="1" t="shared" si="16"/>
        <v>To qualify for tax exemption, you must not have a fixed base in Singapore and your physical presence in any 12-month period must not exceed  days.</v>
      </c>
      <c r="AR200" s="251"/>
      <c r="AS200" s="251"/>
      <c r="AT200" s="251"/>
      <c r="AU200" s="251"/>
      <c r="AV200" s="251"/>
      <c r="AW200" s="251"/>
      <c r="AX200" s="251"/>
      <c r="AY200" s="251"/>
      <c r="AZ200" s="251"/>
      <c r="BA200" s="251"/>
      <c r="BB200" s="251"/>
      <c r="BC200" s="251"/>
      <c r="BD200" s="251"/>
      <c r="BE200" s="251"/>
      <c r="BF200" s="251"/>
      <c r="BG200" s="251"/>
      <c r="BH200" s="251"/>
    </row>
    <row r="201" spans="2:60" ht="16.5">
      <c r="B201" s="1"/>
      <c r="C201" s="92"/>
      <c r="E201" s="92"/>
      <c r="F201" s="92"/>
      <c r="G201" s="92"/>
      <c r="H201" s="92"/>
      <c r="I201" s="92"/>
      <c r="J201" s="92"/>
      <c r="K201" s="92"/>
      <c r="L201" s="92"/>
      <c r="M201" s="92"/>
      <c r="P201" s="251"/>
      <c r="Q201" s="251"/>
      <c r="R201" s="251"/>
      <c r="S201" s="251"/>
      <c r="T201" s="251"/>
      <c r="U201" s="251"/>
      <c r="V201" s="251"/>
      <c r="W201" s="251"/>
      <c r="X201" s="251"/>
      <c r="Y201" s="251"/>
      <c r="Z201" s="251"/>
      <c r="AA201" s="251"/>
      <c r="AB201" s="251"/>
      <c r="AC201" s="287" t="s">
        <v>93</v>
      </c>
      <c r="AD201" s="288"/>
      <c r="AE201" s="288" t="s">
        <v>90</v>
      </c>
      <c r="AF201" s="288"/>
      <c r="AG201" s="288">
        <v>183</v>
      </c>
      <c r="AH201" s="288"/>
      <c r="AI201" s="288"/>
      <c r="AJ201" s="288">
        <f t="shared" si="17"/>
        <v>183</v>
      </c>
      <c r="AK201" s="288"/>
      <c r="AL201" s="289"/>
      <c r="AM201" s="251" t="str">
        <f t="shared" si="18"/>
        <v>Moving</v>
      </c>
      <c r="AN201" s="251" t="str">
        <f t="shared" si="19"/>
        <v>Please answer question 2a and complete section 3.</v>
      </c>
      <c r="AO201" s="290"/>
      <c r="AP201" s="287" t="str">
        <f t="shared" si="20"/>
        <v>Belgium</v>
      </c>
      <c r="AQ201" s="251" t="str">
        <f ca="1" t="shared" si="16"/>
        <v>To qualify for tax exemption, you must not have a fixed base in Singapore and your physical presence in any 12-month period must not exceed  days.</v>
      </c>
      <c r="AR201" s="251"/>
      <c r="AS201" s="251"/>
      <c r="AT201" s="251"/>
      <c r="AU201" s="251"/>
      <c r="AV201" s="251"/>
      <c r="AW201" s="251"/>
      <c r="AX201" s="251"/>
      <c r="AY201" s="251"/>
      <c r="AZ201" s="251"/>
      <c r="BA201" s="251"/>
      <c r="BB201" s="251"/>
      <c r="BC201" s="251"/>
      <c r="BD201" s="251"/>
      <c r="BE201" s="251"/>
      <c r="BF201" s="251"/>
      <c r="BG201" s="251"/>
      <c r="BH201" s="251"/>
    </row>
    <row r="202" spans="2:60" ht="16.5">
      <c r="B202" s="1"/>
      <c r="C202" s="92"/>
      <c r="E202" s="92"/>
      <c r="F202" s="92"/>
      <c r="G202" s="92"/>
      <c r="H202" s="92"/>
      <c r="I202" s="92"/>
      <c r="J202" s="92"/>
      <c r="K202" s="92"/>
      <c r="L202" s="92"/>
      <c r="M202" s="92"/>
      <c r="P202" s="251"/>
      <c r="Q202" s="251"/>
      <c r="R202" s="251"/>
      <c r="S202" s="251"/>
      <c r="T202" s="251"/>
      <c r="U202" s="251"/>
      <c r="V202" s="251"/>
      <c r="W202" s="251"/>
      <c r="X202" s="251"/>
      <c r="Y202" s="251"/>
      <c r="Z202" s="251"/>
      <c r="AA202" s="251"/>
      <c r="AB202" s="251"/>
      <c r="AC202" s="287" t="s">
        <v>224</v>
      </c>
      <c r="AD202" s="291"/>
      <c r="AE202" s="288" t="s">
        <v>90</v>
      </c>
      <c r="AF202" s="288"/>
      <c r="AG202" s="288">
        <v>182</v>
      </c>
      <c r="AH202" s="288"/>
      <c r="AI202" s="288"/>
      <c r="AJ202" s="288">
        <f t="shared" si="17"/>
        <v>182</v>
      </c>
      <c r="AK202" s="288"/>
      <c r="AL202" s="289"/>
      <c r="AM202" s="251" t="str">
        <f t="shared" si="18"/>
        <v>Moving</v>
      </c>
      <c r="AN202" s="251" t="str">
        <f t="shared" si="19"/>
        <v>Please answer question 2a and complete section 3.</v>
      </c>
      <c r="AO202" s="290">
        <v>44562</v>
      </c>
      <c r="AP202" s="287" t="str">
        <f>AC202</f>
        <v>Brazil</v>
      </c>
      <c r="AQ202" s="251" t="str">
        <f ca="1" t="shared" si="16"/>
        <v>With effect from 1 Jan 2022, to qualify for tax exemption, you must not have a fixed base in Singapore and your physical presence in any 12-month period must not exceed  days.</v>
      </c>
      <c r="AR202" s="251"/>
      <c r="AS202" s="251"/>
      <c r="AT202" s="251"/>
      <c r="AU202" s="251"/>
      <c r="AV202" s="251"/>
      <c r="AW202" s="251"/>
      <c r="AX202" s="251"/>
      <c r="AY202" s="251"/>
      <c r="AZ202" s="251"/>
      <c r="BA202" s="251"/>
      <c r="BB202" s="251"/>
      <c r="BC202" s="251"/>
      <c r="BD202" s="251"/>
      <c r="BE202" s="251"/>
      <c r="BF202" s="251"/>
      <c r="BG202" s="251"/>
      <c r="BH202" s="251"/>
    </row>
    <row r="203" spans="2:60" ht="16.5">
      <c r="B203" s="1"/>
      <c r="C203" s="92"/>
      <c r="E203" s="92"/>
      <c r="F203" s="92"/>
      <c r="G203" s="92"/>
      <c r="H203" s="92"/>
      <c r="I203" s="92"/>
      <c r="J203" s="92"/>
      <c r="K203" s="92"/>
      <c r="L203" s="92"/>
      <c r="M203" s="92"/>
      <c r="P203" s="251"/>
      <c r="Q203" s="251"/>
      <c r="R203" s="251"/>
      <c r="S203" s="251"/>
      <c r="T203" s="251"/>
      <c r="U203" s="251"/>
      <c r="V203" s="251"/>
      <c r="W203" s="251"/>
      <c r="X203" s="251"/>
      <c r="Y203" s="251"/>
      <c r="Z203" s="251"/>
      <c r="AA203" s="251"/>
      <c r="AB203" s="251"/>
      <c r="AC203" s="287" t="s">
        <v>94</v>
      </c>
      <c r="AD203" s="288"/>
      <c r="AE203" s="288" t="s">
        <v>90</v>
      </c>
      <c r="AF203" s="288"/>
      <c r="AG203" s="288">
        <v>183</v>
      </c>
      <c r="AH203" s="288"/>
      <c r="AI203" s="288"/>
      <c r="AJ203" s="288">
        <f t="shared" si="17"/>
        <v>183</v>
      </c>
      <c r="AK203" s="288"/>
      <c r="AL203" s="289"/>
      <c r="AM203" s="251" t="str">
        <f t="shared" si="18"/>
        <v>Moving</v>
      </c>
      <c r="AN203" s="251" t="str">
        <f t="shared" si="19"/>
        <v>Please answer question 2a and complete section 3.</v>
      </c>
      <c r="AO203" s="290"/>
      <c r="AP203" s="287" t="str">
        <f t="shared" si="20"/>
        <v>Brunei</v>
      </c>
      <c r="AQ203" s="251" t="str">
        <f ca="1" t="shared" si="16"/>
        <v>To qualify for tax exemption, you must not have a fixed base in Singapore and your physical presence in any 12-month period must not exceed  days.</v>
      </c>
      <c r="AR203" s="251"/>
      <c r="AS203" s="251"/>
      <c r="AT203" s="251"/>
      <c r="AU203" s="251"/>
      <c r="AV203" s="251"/>
      <c r="AW203" s="251"/>
      <c r="AX203" s="251"/>
      <c r="AY203" s="251"/>
      <c r="AZ203" s="251"/>
      <c r="BA203" s="251"/>
      <c r="BB203" s="251"/>
      <c r="BC203" s="251"/>
      <c r="BD203" s="251"/>
      <c r="BE203" s="251"/>
      <c r="BF203" s="251"/>
      <c r="BG203" s="251"/>
      <c r="BH203" s="251"/>
    </row>
    <row r="204" spans="2:60" ht="16.5">
      <c r="B204" s="1"/>
      <c r="C204" s="92"/>
      <c r="E204" s="92"/>
      <c r="F204" s="92"/>
      <c r="G204" s="92"/>
      <c r="H204" s="92"/>
      <c r="I204" s="92"/>
      <c r="J204" s="92"/>
      <c r="K204" s="92"/>
      <c r="L204" s="92"/>
      <c r="M204" s="92"/>
      <c r="P204" s="251"/>
      <c r="Q204" s="251"/>
      <c r="R204" s="251"/>
      <c r="S204" s="251"/>
      <c r="T204" s="251"/>
      <c r="U204" s="251"/>
      <c r="V204" s="251"/>
      <c r="W204" s="251"/>
      <c r="X204" s="251"/>
      <c r="Y204" s="251"/>
      <c r="Z204" s="251"/>
      <c r="AA204" s="251"/>
      <c r="AB204" s="251"/>
      <c r="AC204" s="287" t="s">
        <v>95</v>
      </c>
      <c r="AD204" s="288"/>
      <c r="AE204" s="288" t="s">
        <v>90</v>
      </c>
      <c r="AF204" s="288"/>
      <c r="AG204" s="288"/>
      <c r="AH204" s="288"/>
      <c r="AI204" s="288"/>
      <c r="AJ204" s="288">
        <f t="shared" si="17"/>
        <v>0</v>
      </c>
      <c r="AK204" s="288"/>
      <c r="AL204" s="289"/>
      <c r="AM204" s="251">
        <f t="shared" si="18"/>
      </c>
      <c r="AN204" s="251" t="str">
        <f t="shared" si="19"/>
        <v>Please answer question 2a.</v>
      </c>
      <c r="AO204" s="290"/>
      <c r="AP204" s="287" t="str">
        <f t="shared" si="20"/>
        <v>Bulgaria</v>
      </c>
      <c r="AQ204" s="251" t="str">
        <f ca="1" t="shared" si="16"/>
        <v>To qualify for tax exemption, you must not have a fixed base in Singapore.</v>
      </c>
      <c r="AR204" s="251"/>
      <c r="AS204" s="251"/>
      <c r="AT204" s="251"/>
      <c r="AU204" s="251"/>
      <c r="AV204" s="251"/>
      <c r="AW204" s="251"/>
      <c r="AX204" s="251"/>
      <c r="AY204" s="251"/>
      <c r="AZ204" s="251"/>
      <c r="BA204" s="251"/>
      <c r="BB204" s="251"/>
      <c r="BC204" s="251"/>
      <c r="BD204" s="251"/>
      <c r="BE204" s="251"/>
      <c r="BF204" s="251"/>
      <c r="BG204" s="251"/>
      <c r="BH204" s="251"/>
    </row>
    <row r="205" spans="2:60" ht="16.5">
      <c r="B205" s="1"/>
      <c r="C205" s="92"/>
      <c r="E205" s="92"/>
      <c r="F205" s="92"/>
      <c r="G205" s="92"/>
      <c r="H205" s="92"/>
      <c r="I205" s="92"/>
      <c r="J205" s="92"/>
      <c r="K205" s="92"/>
      <c r="L205" s="92"/>
      <c r="M205" s="92"/>
      <c r="P205" s="251"/>
      <c r="Q205" s="251"/>
      <c r="R205" s="251"/>
      <c r="S205" s="251"/>
      <c r="T205" s="251"/>
      <c r="U205" s="251"/>
      <c r="V205" s="251"/>
      <c r="W205" s="251"/>
      <c r="X205" s="251"/>
      <c r="Y205" s="251"/>
      <c r="Z205" s="251"/>
      <c r="AA205" s="251"/>
      <c r="AB205" s="251"/>
      <c r="AC205" s="287" t="s">
        <v>265</v>
      </c>
      <c r="AD205" s="291"/>
      <c r="AE205" s="291" t="s">
        <v>272</v>
      </c>
      <c r="AF205" s="288"/>
      <c r="AG205" s="288">
        <v>183</v>
      </c>
      <c r="AH205" s="288"/>
      <c r="AI205" s="288"/>
      <c r="AJ205" s="288">
        <f t="shared" si="17"/>
        <v>183</v>
      </c>
      <c r="AK205" s="288"/>
      <c r="AL205" s="289" t="s">
        <v>274</v>
      </c>
      <c r="AM205" s="251" t="str">
        <f t="shared" si="18"/>
        <v>Moving</v>
      </c>
      <c r="AN205" s="251" t="str">
        <f t="shared" si="19"/>
        <v>Please answer question 2a and complete section 3.</v>
      </c>
      <c r="AO205" s="290">
        <v>43101</v>
      </c>
      <c r="AP205" s="287" t="str">
        <f t="shared" si="20"/>
        <v>Cambodia</v>
      </c>
      <c r="AQ205" s="251" t="str">
        <f ca="1">IF(YEAR($AO205)&lt;&gt;YEAR(TODAY()),VLOOKUP($AC$157,$AC$149:$AD$157,2,FALSE),CONCATENATE("With effect from ",DAY($AO205)," Jan ",YEAR($AO205),", t",RIGHT(VLOOKUP($AC$157,$AC$149:$AD$157,2,FALSE),LEN(VLOOKUP($AC$157,$AC$149:$AD$157,2,FALSE))-1)))</f>
        <v>To qualify for reduced withholding tax rate, you must not have a fixed base in Singapore and your physical presence in any 12-month period must not exceed  days.</v>
      </c>
      <c r="AR205" s="251"/>
      <c r="AS205" s="251"/>
      <c r="AT205" s="251"/>
      <c r="AU205" s="251"/>
      <c r="AV205" s="251"/>
      <c r="AW205" s="251"/>
      <c r="AX205" s="251"/>
      <c r="AY205" s="251"/>
      <c r="AZ205" s="251"/>
      <c r="BA205" s="251"/>
      <c r="BB205" s="251"/>
      <c r="BC205" s="251"/>
      <c r="BD205" s="251"/>
      <c r="BE205" s="251"/>
      <c r="BF205" s="251"/>
      <c r="BG205" s="251"/>
      <c r="BH205" s="251"/>
    </row>
    <row r="206" spans="2:60" ht="16.5">
      <c r="B206" s="1"/>
      <c r="C206" s="92"/>
      <c r="E206" s="92"/>
      <c r="F206" s="92"/>
      <c r="G206" s="92"/>
      <c r="H206" s="92"/>
      <c r="I206" s="92"/>
      <c r="J206" s="92"/>
      <c r="K206" s="92"/>
      <c r="L206" s="92"/>
      <c r="M206" s="92"/>
      <c r="P206" s="251"/>
      <c r="Q206" s="251"/>
      <c r="R206" s="251"/>
      <c r="S206" s="251"/>
      <c r="T206" s="251"/>
      <c r="U206" s="251"/>
      <c r="V206" s="251"/>
      <c r="W206" s="251"/>
      <c r="X206" s="251"/>
      <c r="Y206" s="251"/>
      <c r="Z206" s="251"/>
      <c r="AA206" s="251"/>
      <c r="AB206" s="251"/>
      <c r="AC206" s="287" t="s">
        <v>96</v>
      </c>
      <c r="AD206" s="291" t="s">
        <v>88</v>
      </c>
      <c r="AE206" s="288"/>
      <c r="AF206" s="288"/>
      <c r="AG206" s="288"/>
      <c r="AH206" s="288"/>
      <c r="AI206" s="288"/>
      <c r="AJ206" s="288">
        <f t="shared" si="17"/>
        <v>0</v>
      </c>
      <c r="AK206" s="288"/>
      <c r="AL206" s="289"/>
      <c r="AM206" s="251">
        <f t="shared" si="18"/>
      </c>
      <c r="AN206" s="251" t="str">
        <f t="shared" si="19"/>
        <v>None - Assume Cost Borne</v>
      </c>
      <c r="AO206" s="290"/>
      <c r="AP206" s="287" t="str">
        <f t="shared" si="20"/>
        <v>Canada</v>
      </c>
      <c r="AQ206" s="251" t="str">
        <f aca="true" ca="1" t="shared" si="21" ref="AQ206:AQ257">IF(OR(VLOOKUP($AN206,$AC$149:$AD$155,2,FALSE)=$AD$149,VLOOKUP($AN206,$AC$149:$AD$155,2,FALSE)=$AD$154,VLOOKUP($AN206,$AC$149:$AD$155,2,FALSE)=$AD$155,YEAR($AO206)&lt;&gt;YEAR(TODAY())),VLOOKUP($AN206,$AC$149:$AD$155,2,FALSE),CONCATENATE("With effect from ",DAY($AO206)," Jan ",YEAR($AO206),", t",RIGHT(VLOOKUP($AN206,$AC$149:$AD$155,2,FALSE),LEN(VLOOKUP($AN206,$AC$149:$AD$155,2,FALSE))-1)))</f>
        <v>You do not qualify for tax exemption as your income is borne/paid by a Singapore entity.</v>
      </c>
      <c r="AR206" s="251"/>
      <c r="AS206" s="251"/>
      <c r="AT206" s="251"/>
      <c r="AU206" s="251"/>
      <c r="AV206" s="251"/>
      <c r="AW206" s="251"/>
      <c r="AX206" s="251"/>
      <c r="AY206" s="251"/>
      <c r="AZ206" s="251"/>
      <c r="BA206" s="251"/>
      <c r="BB206" s="251"/>
      <c r="BC206" s="251"/>
      <c r="BD206" s="251"/>
      <c r="BE206" s="251"/>
      <c r="BF206" s="251"/>
      <c r="BG206" s="251"/>
      <c r="BH206" s="251"/>
    </row>
    <row r="207" spans="2:60" ht="16.5">
      <c r="B207" s="1"/>
      <c r="C207" s="92"/>
      <c r="E207" s="92"/>
      <c r="F207" s="92"/>
      <c r="G207" s="92"/>
      <c r="H207" s="92"/>
      <c r="I207" s="92"/>
      <c r="J207" s="92"/>
      <c r="K207" s="92"/>
      <c r="L207" s="92"/>
      <c r="M207" s="92"/>
      <c r="P207" s="251"/>
      <c r="Q207" s="251"/>
      <c r="R207" s="251"/>
      <c r="S207" s="251"/>
      <c r="T207" s="251"/>
      <c r="U207" s="251"/>
      <c r="V207" s="251"/>
      <c r="W207" s="251"/>
      <c r="X207" s="251"/>
      <c r="Y207" s="251"/>
      <c r="Z207" s="251"/>
      <c r="AA207" s="251"/>
      <c r="AB207" s="251"/>
      <c r="AC207" s="287" t="s">
        <v>182</v>
      </c>
      <c r="AD207" s="291"/>
      <c r="AE207" s="288"/>
      <c r="AF207" s="288"/>
      <c r="AG207" s="288"/>
      <c r="AH207" s="288"/>
      <c r="AI207" s="288"/>
      <c r="AJ207" s="288"/>
      <c r="AK207" s="288"/>
      <c r="AL207" s="289"/>
      <c r="AM207" s="251"/>
      <c r="AN207" s="251" t="str">
        <f aca="true" t="shared" si="22" ref="AN207:AN223">IF(ISBLANK(AK207)=FALSE,$AC$152,IF(ISBLANK(AH207)=FALSE,$AC$153,IF(OR(ISBLANK(AG207)=FALSE,ISBLANK(AF207)=FALSE,ISBLANK(AI207)=FALSE)=TRUE,$AC$151,IF(ISBLANK(AE207)=FALSE,$AC$150,IF(ISBLANK(AD207)=FALSE,$AC$149,$AC$154)))))</f>
        <v>None - Limited Treaty</v>
      </c>
      <c r="AO207" s="290"/>
      <c r="AP207" s="287" t="str">
        <f t="shared" si="20"/>
        <v>Chile</v>
      </c>
      <c r="AQ207" s="251" t="str">
        <f ca="1" t="shared" si="21"/>
        <v>The current limited tax treaty does not provide for tax exemption for the services rendered by non-resident professionals. Please see result below.</v>
      </c>
      <c r="AR207" s="251"/>
      <c r="AS207" s="251"/>
      <c r="AT207" s="251"/>
      <c r="AU207" s="251"/>
      <c r="AV207" s="251"/>
      <c r="AW207" s="251"/>
      <c r="AX207" s="251"/>
      <c r="AY207" s="251"/>
      <c r="AZ207" s="251"/>
      <c r="BA207" s="251"/>
      <c r="BB207" s="251"/>
      <c r="BC207" s="251"/>
      <c r="BD207" s="251"/>
      <c r="BE207" s="251"/>
      <c r="BF207" s="251"/>
      <c r="BG207" s="251"/>
      <c r="BH207" s="251"/>
    </row>
    <row r="208" spans="2:60" ht="16.5">
      <c r="B208" s="1"/>
      <c r="C208" s="92"/>
      <c r="E208" s="92"/>
      <c r="F208" s="92"/>
      <c r="G208" s="92"/>
      <c r="H208" s="92"/>
      <c r="I208" s="92"/>
      <c r="J208" s="92"/>
      <c r="K208" s="92"/>
      <c r="L208" s="92"/>
      <c r="M208" s="92"/>
      <c r="P208" s="251"/>
      <c r="Q208" s="251"/>
      <c r="R208" s="251"/>
      <c r="S208" s="251"/>
      <c r="T208" s="251"/>
      <c r="U208" s="251"/>
      <c r="V208" s="251"/>
      <c r="W208" s="251"/>
      <c r="X208" s="251"/>
      <c r="Y208" s="251"/>
      <c r="Z208" s="251"/>
      <c r="AA208" s="251"/>
      <c r="AB208" s="251"/>
      <c r="AC208" s="287" t="s">
        <v>97</v>
      </c>
      <c r="AD208" s="288"/>
      <c r="AE208" s="288" t="s">
        <v>90</v>
      </c>
      <c r="AF208" s="288"/>
      <c r="AG208" s="288">
        <v>182</v>
      </c>
      <c r="AH208" s="288"/>
      <c r="AI208" s="288"/>
      <c r="AJ208" s="288">
        <f t="shared" si="17"/>
        <v>182</v>
      </c>
      <c r="AK208" s="288"/>
      <c r="AL208" s="289"/>
      <c r="AM208" s="251" t="str">
        <f aca="true" t="shared" si="23" ref="AM208:AM221">IF(OR(ISBLANK(AF208)=FALSE,ISBLANK(AK208)=FALSE)=TRUE,"Calendar",IF(OR(ISBLANK(AG208)=FALSE,ISBLANK(AH208)=FALSE,ISBLANK(AI208)=FALSE)=TRUE,"Moving",""))</f>
        <v>Moving</v>
      </c>
      <c r="AN208" s="251" t="str">
        <f t="shared" si="22"/>
        <v>Please answer question 2a and complete section 3.</v>
      </c>
      <c r="AO208" s="290"/>
      <c r="AP208" s="287" t="str">
        <f t="shared" si="20"/>
        <v>China</v>
      </c>
      <c r="AQ208" s="251" t="str">
        <f ca="1" t="shared" si="21"/>
        <v>To qualify for tax exemption, you must not have a fixed base in Singapore and your physical presence in any 12-month period must not exceed  days.</v>
      </c>
      <c r="AR208" s="251"/>
      <c r="AS208" s="251"/>
      <c r="AT208" s="251"/>
      <c r="AU208" s="251"/>
      <c r="AV208" s="251"/>
      <c r="AW208" s="251"/>
      <c r="AX208" s="251"/>
      <c r="AY208" s="251"/>
      <c r="AZ208" s="251"/>
      <c r="BA208" s="251"/>
      <c r="BB208" s="251"/>
      <c r="BC208" s="251"/>
      <c r="BD208" s="251"/>
      <c r="BE208" s="251"/>
      <c r="BF208" s="251"/>
      <c r="BG208" s="251"/>
      <c r="BH208" s="251"/>
    </row>
    <row r="209" spans="2:60" ht="16.5">
      <c r="B209" s="1"/>
      <c r="C209" s="92"/>
      <c r="E209" s="92"/>
      <c r="F209" s="92"/>
      <c r="G209" s="92"/>
      <c r="H209" s="92"/>
      <c r="I209" s="92"/>
      <c r="J209" s="92"/>
      <c r="K209" s="92"/>
      <c r="L209" s="92"/>
      <c r="M209" s="92"/>
      <c r="P209" s="251"/>
      <c r="Q209" s="251"/>
      <c r="R209" s="251"/>
      <c r="S209" s="251"/>
      <c r="T209" s="251"/>
      <c r="U209" s="251"/>
      <c r="V209" s="251"/>
      <c r="W209" s="251"/>
      <c r="X209" s="251"/>
      <c r="Y209" s="251"/>
      <c r="Z209" s="251"/>
      <c r="AA209" s="251"/>
      <c r="AB209" s="251"/>
      <c r="AC209" s="287" t="s">
        <v>98</v>
      </c>
      <c r="AD209" s="288"/>
      <c r="AE209" s="288" t="s">
        <v>90</v>
      </c>
      <c r="AF209" s="288"/>
      <c r="AG209" s="288">
        <f>90-1</f>
        <v>89</v>
      </c>
      <c r="AH209" s="288"/>
      <c r="AI209" s="288"/>
      <c r="AJ209" s="288">
        <f t="shared" si="17"/>
        <v>89</v>
      </c>
      <c r="AK209" s="288"/>
      <c r="AL209" s="289"/>
      <c r="AM209" s="251" t="str">
        <f t="shared" si="23"/>
        <v>Moving</v>
      </c>
      <c r="AN209" s="251" t="str">
        <f t="shared" si="22"/>
        <v>Please answer question 2a and complete section 3.</v>
      </c>
      <c r="AO209" s="290"/>
      <c r="AP209" s="287" t="str">
        <f t="shared" si="20"/>
        <v>Cyprus</v>
      </c>
      <c r="AQ209" s="251" t="str">
        <f ca="1" t="shared" si="21"/>
        <v>To qualify for tax exemption, you must not have a fixed base in Singapore and your physical presence in any 12-month period must not exceed  days.</v>
      </c>
      <c r="AR209" s="251"/>
      <c r="AS209" s="251"/>
      <c r="AT209" s="251"/>
      <c r="AU209" s="251"/>
      <c r="AV209" s="251"/>
      <c r="AW209" s="251"/>
      <c r="AX209" s="251"/>
      <c r="AY209" s="251"/>
      <c r="AZ209" s="251"/>
      <c r="BA209" s="251"/>
      <c r="BB209" s="251"/>
      <c r="BC209" s="251"/>
      <c r="BD209" s="251"/>
      <c r="BE209" s="251"/>
      <c r="BF209" s="251"/>
      <c r="BG209" s="251"/>
      <c r="BH209" s="251"/>
    </row>
    <row r="210" spans="2:60" ht="16.5">
      <c r="B210" s="1"/>
      <c r="C210" s="92"/>
      <c r="E210" s="92"/>
      <c r="F210" s="92"/>
      <c r="G210" s="92"/>
      <c r="H210" s="92"/>
      <c r="I210" s="92"/>
      <c r="J210" s="92"/>
      <c r="K210" s="92"/>
      <c r="L210" s="92"/>
      <c r="M210" s="92"/>
      <c r="P210" s="251"/>
      <c r="Q210" s="251"/>
      <c r="R210" s="251"/>
      <c r="S210" s="251"/>
      <c r="T210" s="251"/>
      <c r="U210" s="251"/>
      <c r="V210" s="251"/>
      <c r="W210" s="251"/>
      <c r="X210" s="251"/>
      <c r="Y210" s="251"/>
      <c r="Z210" s="251"/>
      <c r="AA210" s="251"/>
      <c r="AB210" s="251"/>
      <c r="AC210" s="287" t="s">
        <v>99</v>
      </c>
      <c r="AD210" s="288"/>
      <c r="AE210" s="288" t="s">
        <v>90</v>
      </c>
      <c r="AF210" s="288"/>
      <c r="AG210" s="288">
        <v>183</v>
      </c>
      <c r="AH210" s="288"/>
      <c r="AI210" s="288"/>
      <c r="AJ210" s="288">
        <f t="shared" si="17"/>
        <v>183</v>
      </c>
      <c r="AK210" s="288"/>
      <c r="AL210" s="289"/>
      <c r="AM210" s="251" t="str">
        <f t="shared" si="23"/>
        <v>Moving</v>
      </c>
      <c r="AN210" s="251" t="str">
        <f t="shared" si="22"/>
        <v>Please answer question 2a and complete section 3.</v>
      </c>
      <c r="AO210" s="290"/>
      <c r="AP210" s="287" t="str">
        <f t="shared" si="20"/>
        <v>Czech Republic</v>
      </c>
      <c r="AQ210" s="251" t="str">
        <f ca="1" t="shared" si="21"/>
        <v>To qualify for tax exemption, you must not have a fixed base in Singapore and your physical presence in any 12-month period must not exceed  days.</v>
      </c>
      <c r="AR210" s="251"/>
      <c r="AS210" s="251"/>
      <c r="AT210" s="251"/>
      <c r="AU210" s="251"/>
      <c r="AV210" s="251"/>
      <c r="AW210" s="251"/>
      <c r="AX210" s="251"/>
      <c r="AY210" s="251"/>
      <c r="AZ210" s="251"/>
      <c r="BA210" s="251"/>
      <c r="BB210" s="251"/>
      <c r="BC210" s="251"/>
      <c r="BD210" s="251"/>
      <c r="BE210" s="251"/>
      <c r="BF210" s="251"/>
      <c r="BG210" s="251"/>
      <c r="BH210" s="251"/>
    </row>
    <row r="211" spans="2:60" ht="16.5">
      <c r="B211" s="1"/>
      <c r="C211" s="92"/>
      <c r="E211" s="92"/>
      <c r="F211" s="92"/>
      <c r="G211" s="92"/>
      <c r="H211" s="92"/>
      <c r="I211" s="92"/>
      <c r="J211" s="92"/>
      <c r="K211" s="92"/>
      <c r="L211" s="92"/>
      <c r="M211" s="92"/>
      <c r="P211" s="251"/>
      <c r="Q211" s="251"/>
      <c r="R211" s="251"/>
      <c r="S211" s="251"/>
      <c r="T211" s="251"/>
      <c r="U211" s="251"/>
      <c r="V211" s="251"/>
      <c r="W211" s="251"/>
      <c r="X211" s="251"/>
      <c r="Y211" s="251"/>
      <c r="Z211" s="251"/>
      <c r="AA211" s="251"/>
      <c r="AB211" s="251"/>
      <c r="AC211" s="287" t="s">
        <v>100</v>
      </c>
      <c r="AD211" s="288"/>
      <c r="AE211" s="288" t="s">
        <v>90</v>
      </c>
      <c r="AF211" s="288"/>
      <c r="AG211" s="288">
        <v>90</v>
      </c>
      <c r="AH211" s="288"/>
      <c r="AI211" s="288"/>
      <c r="AJ211" s="288">
        <f t="shared" si="17"/>
        <v>90</v>
      </c>
      <c r="AK211" s="288"/>
      <c r="AL211" s="289"/>
      <c r="AM211" s="251" t="str">
        <f t="shared" si="23"/>
        <v>Moving</v>
      </c>
      <c r="AN211" s="251" t="str">
        <f t="shared" si="22"/>
        <v>Please answer question 2a and complete section 3.</v>
      </c>
      <c r="AO211" s="290"/>
      <c r="AP211" s="287" t="str">
        <f t="shared" si="20"/>
        <v>Denmark</v>
      </c>
      <c r="AQ211" s="251" t="str">
        <f ca="1" t="shared" si="21"/>
        <v>To qualify for tax exemption, you must not have a fixed base in Singapore and your physical presence in any 12-month period must not exceed  days.</v>
      </c>
      <c r="AR211" s="251"/>
      <c r="AS211" s="251"/>
      <c r="AT211" s="251"/>
      <c r="AU211" s="251"/>
      <c r="AV211" s="251"/>
      <c r="AW211" s="251"/>
      <c r="AX211" s="251"/>
      <c r="AY211" s="251"/>
      <c r="AZ211" s="251"/>
      <c r="BA211" s="251"/>
      <c r="BB211" s="251"/>
      <c r="BC211" s="251"/>
      <c r="BD211" s="251"/>
      <c r="BE211" s="251"/>
      <c r="BF211" s="251"/>
      <c r="BG211" s="251"/>
      <c r="BH211" s="251"/>
    </row>
    <row r="212" spans="2:60" ht="16.5">
      <c r="B212" s="1"/>
      <c r="C212" s="92"/>
      <c r="E212" s="92"/>
      <c r="F212" s="92"/>
      <c r="G212" s="92"/>
      <c r="H212" s="92"/>
      <c r="I212" s="92"/>
      <c r="J212" s="92"/>
      <c r="K212" s="92"/>
      <c r="L212" s="92"/>
      <c r="M212" s="92"/>
      <c r="P212" s="251"/>
      <c r="Q212" s="251"/>
      <c r="R212" s="251"/>
      <c r="S212" s="251"/>
      <c r="T212" s="251"/>
      <c r="U212" s="251"/>
      <c r="V212" s="251"/>
      <c r="W212" s="251"/>
      <c r="X212" s="251"/>
      <c r="Y212" s="251"/>
      <c r="Z212" s="251"/>
      <c r="AA212" s="251"/>
      <c r="AB212" s="251"/>
      <c r="AC212" s="287" t="s">
        <v>226</v>
      </c>
      <c r="AD212" s="288"/>
      <c r="AE212" s="288" t="s">
        <v>90</v>
      </c>
      <c r="AF212" s="288"/>
      <c r="AG212" s="288">
        <v>182</v>
      </c>
      <c r="AH212" s="288"/>
      <c r="AI212" s="288"/>
      <c r="AJ212" s="288">
        <f>SUM(AF212:AI212)</f>
        <v>182</v>
      </c>
      <c r="AK212" s="288"/>
      <c r="AL212" s="289"/>
      <c r="AM212" s="251" t="str">
        <f>IF(OR(ISBLANK(AF212)=FALSE,ISBLANK(AK212)=FALSE)=TRUE,"Calendar",IF(OR(ISBLANK(AG212)=FALSE,ISBLANK(AH212)=FALSE,ISBLANK(AI212)=FALSE)=TRUE,"Moving",""))</f>
        <v>Moving</v>
      </c>
      <c r="AN212" s="251" t="str">
        <f>IF(ISBLANK(AK212)=FALSE,$AC$152,IF(ISBLANK(AH212)=FALSE,$AC$153,IF(OR(ISBLANK(AG212)=FALSE,ISBLANK(AF212)=FALSE,ISBLANK(AI212)=FALSE)=TRUE,$AC$151,IF(ISBLANK(AE212)=FALSE,$AC$150,IF(ISBLANK(AD212)=FALSE,$AC$149,$AC$154)))))</f>
        <v>Please answer question 2a and complete section 3.</v>
      </c>
      <c r="AO212" s="290"/>
      <c r="AP212" s="287" t="str">
        <f>AC212</f>
        <v>Ecuador</v>
      </c>
      <c r="AQ212" s="251" t="str">
        <f ca="1" t="shared" si="21"/>
        <v>To qualify for tax exemption, you must not have a fixed base in Singapore and your physical presence in any 12-month period must not exceed  days.</v>
      </c>
      <c r="AR212" s="251"/>
      <c r="AS212" s="251"/>
      <c r="AT212" s="251"/>
      <c r="AU212" s="251"/>
      <c r="AV212" s="251"/>
      <c r="AW212" s="251"/>
      <c r="AX212" s="251"/>
      <c r="AY212" s="251"/>
      <c r="AZ212" s="251"/>
      <c r="BA212" s="251"/>
      <c r="BB212" s="251"/>
      <c r="BC212" s="251"/>
      <c r="BD212" s="251"/>
      <c r="BE212" s="251"/>
      <c r="BF212" s="251"/>
      <c r="BG212" s="251"/>
      <c r="BH212" s="251"/>
    </row>
    <row r="213" spans="2:60" ht="16.5">
      <c r="B213" s="1"/>
      <c r="C213" s="92"/>
      <c r="E213" s="92"/>
      <c r="F213" s="92"/>
      <c r="G213" s="92"/>
      <c r="H213" s="92"/>
      <c r="I213" s="92"/>
      <c r="J213" s="92"/>
      <c r="K213" s="92"/>
      <c r="L213" s="92"/>
      <c r="M213" s="92"/>
      <c r="P213" s="251"/>
      <c r="Q213" s="251"/>
      <c r="R213" s="251"/>
      <c r="S213" s="251"/>
      <c r="T213" s="251"/>
      <c r="U213" s="251"/>
      <c r="V213" s="251"/>
      <c r="W213" s="251"/>
      <c r="X213" s="251"/>
      <c r="Y213" s="251"/>
      <c r="Z213" s="251"/>
      <c r="AA213" s="251"/>
      <c r="AB213" s="251"/>
      <c r="AC213" s="287" t="s">
        <v>101</v>
      </c>
      <c r="AD213" s="288"/>
      <c r="AE213" s="288" t="s">
        <v>90</v>
      </c>
      <c r="AF213" s="288">
        <f>183-1</f>
        <v>182</v>
      </c>
      <c r="AG213" s="288"/>
      <c r="AH213" s="288"/>
      <c r="AI213" s="288"/>
      <c r="AJ213" s="288">
        <f t="shared" si="17"/>
        <v>182</v>
      </c>
      <c r="AK213" s="288"/>
      <c r="AL213" s="289"/>
      <c r="AM213" s="251" t="str">
        <f t="shared" si="23"/>
        <v>Calendar</v>
      </c>
      <c r="AN213" s="251" t="str">
        <f t="shared" si="22"/>
        <v>Please answer question 2a and complete section 3.</v>
      </c>
      <c r="AO213" s="290"/>
      <c r="AP213" s="287" t="str">
        <f t="shared" si="20"/>
        <v>Egypt</v>
      </c>
      <c r="AQ213" s="251" t="str">
        <f ca="1" t="shared" si="21"/>
        <v>To qualify for tax exemption, you must not have a fixed base in Singapore and your physical presence in any 12-month period must not exceed  days.</v>
      </c>
      <c r="AR213" s="251"/>
      <c r="AS213" s="251"/>
      <c r="AT213" s="251"/>
      <c r="AU213" s="251"/>
      <c r="AV213" s="251"/>
      <c r="AW213" s="251"/>
      <c r="AX213" s="251"/>
      <c r="AY213" s="251"/>
      <c r="AZ213" s="251"/>
      <c r="BA213" s="251"/>
      <c r="BB213" s="251"/>
      <c r="BC213" s="251"/>
      <c r="BD213" s="251"/>
      <c r="BE213" s="251"/>
      <c r="BF213" s="251"/>
      <c r="BG213" s="251"/>
      <c r="BH213" s="251"/>
    </row>
    <row r="214" spans="2:60" ht="16.5">
      <c r="B214" s="1"/>
      <c r="C214" s="92"/>
      <c r="E214" s="92"/>
      <c r="F214" s="92"/>
      <c r="G214" s="92"/>
      <c r="H214" s="92"/>
      <c r="I214" s="92"/>
      <c r="J214" s="92"/>
      <c r="K214" s="92"/>
      <c r="L214" s="92"/>
      <c r="M214" s="92"/>
      <c r="P214" s="251"/>
      <c r="Q214" s="251"/>
      <c r="R214" s="251"/>
      <c r="S214" s="251"/>
      <c r="T214" s="251"/>
      <c r="U214" s="251"/>
      <c r="V214" s="251"/>
      <c r="W214" s="251"/>
      <c r="X214" s="251"/>
      <c r="Y214" s="251"/>
      <c r="Z214" s="251"/>
      <c r="AA214" s="251"/>
      <c r="AB214" s="251"/>
      <c r="AC214" s="287" t="s">
        <v>102</v>
      </c>
      <c r="AD214" s="288"/>
      <c r="AE214" s="288" t="s">
        <v>90</v>
      </c>
      <c r="AF214" s="288"/>
      <c r="AG214" s="288">
        <v>183</v>
      </c>
      <c r="AH214" s="288"/>
      <c r="AI214" s="288"/>
      <c r="AJ214" s="288">
        <f t="shared" si="17"/>
        <v>183</v>
      </c>
      <c r="AK214" s="288"/>
      <c r="AL214" s="289"/>
      <c r="AM214" s="251" t="str">
        <f t="shared" si="23"/>
        <v>Moving</v>
      </c>
      <c r="AN214" s="251" t="str">
        <f t="shared" si="22"/>
        <v>Please answer question 2a and complete section 3.</v>
      </c>
      <c r="AO214" s="290"/>
      <c r="AP214" s="287" t="str">
        <f t="shared" si="20"/>
        <v>Estonia</v>
      </c>
      <c r="AQ214" s="251" t="str">
        <f ca="1" t="shared" si="21"/>
        <v>To qualify for tax exemption, you must not have a fixed base in Singapore and your physical presence in any 12-month period must not exceed  days.</v>
      </c>
      <c r="AR214" s="251"/>
      <c r="AS214" s="251"/>
      <c r="AT214" s="251"/>
      <c r="AU214" s="251"/>
      <c r="AV214" s="251"/>
      <c r="AW214" s="251"/>
      <c r="AX214" s="251"/>
      <c r="AY214" s="251"/>
      <c r="AZ214" s="251"/>
      <c r="BA214" s="251"/>
      <c r="BB214" s="251"/>
      <c r="BC214" s="251"/>
      <c r="BD214" s="251"/>
      <c r="BE214" s="251"/>
      <c r="BF214" s="251"/>
      <c r="BG214" s="251"/>
      <c r="BH214" s="251"/>
    </row>
    <row r="215" spans="2:60" ht="16.5">
      <c r="B215" s="1"/>
      <c r="C215" s="92"/>
      <c r="E215" s="92"/>
      <c r="F215" s="92"/>
      <c r="G215" s="92"/>
      <c r="H215" s="92"/>
      <c r="I215" s="92"/>
      <c r="J215" s="92"/>
      <c r="K215" s="92"/>
      <c r="L215" s="92"/>
      <c r="M215" s="92"/>
      <c r="P215" s="251"/>
      <c r="Q215" s="251"/>
      <c r="R215" s="251"/>
      <c r="S215" s="251"/>
      <c r="T215" s="251"/>
      <c r="U215" s="251"/>
      <c r="V215" s="251"/>
      <c r="W215" s="251"/>
      <c r="X215" s="251"/>
      <c r="Y215" s="251"/>
      <c r="Z215" s="251"/>
      <c r="AA215" s="251"/>
      <c r="AB215" s="251"/>
      <c r="AC215" s="287" t="s">
        <v>266</v>
      </c>
      <c r="AD215" s="288"/>
      <c r="AE215" s="288" t="s">
        <v>90</v>
      </c>
      <c r="AF215" s="288"/>
      <c r="AG215" s="288">
        <v>183</v>
      </c>
      <c r="AH215" s="288"/>
      <c r="AI215" s="288"/>
      <c r="AJ215" s="288">
        <f t="shared" si="17"/>
        <v>183</v>
      </c>
      <c r="AK215" s="288"/>
      <c r="AL215" s="289"/>
      <c r="AM215" s="251" t="str">
        <f t="shared" si="23"/>
        <v>Moving</v>
      </c>
      <c r="AN215" s="251" t="str">
        <f t="shared" si="22"/>
        <v>Please answer question 2a and complete section 3.</v>
      </c>
      <c r="AO215" s="290">
        <v>43101</v>
      </c>
      <c r="AP215" s="287" t="str">
        <f t="shared" si="20"/>
        <v>Ethiopia</v>
      </c>
      <c r="AQ215" s="251" t="str">
        <f ca="1" t="shared" si="21"/>
        <v>To qualify for tax exemption, you must not have a fixed base in Singapore and your physical presence in any 12-month period must not exceed  days.</v>
      </c>
      <c r="AR215" s="251"/>
      <c r="AS215" s="251"/>
      <c r="AT215" s="251"/>
      <c r="AU215" s="251"/>
      <c r="AV215" s="251"/>
      <c r="AW215" s="251"/>
      <c r="AX215" s="251"/>
      <c r="AY215" s="251"/>
      <c r="AZ215" s="251"/>
      <c r="BA215" s="251"/>
      <c r="BB215" s="251"/>
      <c r="BC215" s="251"/>
      <c r="BD215" s="251"/>
      <c r="BE215" s="251"/>
      <c r="BF215" s="251"/>
      <c r="BG215" s="251"/>
      <c r="BH215" s="251"/>
    </row>
    <row r="216" spans="2:60" ht="16.5">
      <c r="B216" s="1"/>
      <c r="C216" s="92"/>
      <c r="E216" s="92"/>
      <c r="F216" s="92"/>
      <c r="G216" s="92"/>
      <c r="H216" s="92"/>
      <c r="I216" s="92"/>
      <c r="J216" s="92"/>
      <c r="K216" s="92"/>
      <c r="L216" s="92"/>
      <c r="M216" s="92"/>
      <c r="P216" s="251"/>
      <c r="Q216" s="251"/>
      <c r="R216" s="251"/>
      <c r="S216" s="251"/>
      <c r="T216" s="251"/>
      <c r="U216" s="251"/>
      <c r="V216" s="251"/>
      <c r="W216" s="251"/>
      <c r="X216" s="251"/>
      <c r="Y216" s="251"/>
      <c r="Z216" s="251"/>
      <c r="AA216" s="251"/>
      <c r="AB216" s="251"/>
      <c r="AC216" s="287" t="s">
        <v>103</v>
      </c>
      <c r="AD216" s="288"/>
      <c r="AE216" s="288" t="s">
        <v>90</v>
      </c>
      <c r="AF216" s="288"/>
      <c r="AG216" s="288">
        <v>119</v>
      </c>
      <c r="AH216" s="288"/>
      <c r="AI216" s="288"/>
      <c r="AJ216" s="288">
        <f t="shared" si="17"/>
        <v>119</v>
      </c>
      <c r="AK216" s="288"/>
      <c r="AL216" s="289"/>
      <c r="AM216" s="251" t="str">
        <f t="shared" si="23"/>
        <v>Moving</v>
      </c>
      <c r="AN216" s="251" t="str">
        <f t="shared" si="22"/>
        <v>Please answer question 2a and complete section 3.</v>
      </c>
      <c r="AO216" s="290"/>
      <c r="AP216" s="287" t="str">
        <f t="shared" si="20"/>
        <v>Fiji</v>
      </c>
      <c r="AQ216" s="251" t="str">
        <f ca="1" t="shared" si="21"/>
        <v>To qualify for tax exemption, you must not have a fixed base in Singapore and your physical presence in any 12-month period must not exceed  days.</v>
      </c>
      <c r="AR216" s="251"/>
      <c r="AS216" s="251"/>
      <c r="AT216" s="251"/>
      <c r="AU216" s="251"/>
      <c r="AV216" s="251"/>
      <c r="AW216" s="251"/>
      <c r="AX216" s="251"/>
      <c r="AY216" s="251"/>
      <c r="AZ216" s="251"/>
      <c r="BA216" s="251"/>
      <c r="BB216" s="251"/>
      <c r="BC216" s="251"/>
      <c r="BD216" s="251"/>
      <c r="BE216" s="251"/>
      <c r="BF216" s="251"/>
      <c r="BG216" s="251"/>
      <c r="BH216" s="251"/>
    </row>
    <row r="217" spans="2:60" ht="16.5">
      <c r="B217" s="1"/>
      <c r="C217" s="92"/>
      <c r="E217" s="92"/>
      <c r="F217" s="92"/>
      <c r="G217" s="92"/>
      <c r="H217" s="92"/>
      <c r="I217" s="92"/>
      <c r="J217" s="92"/>
      <c r="K217" s="92"/>
      <c r="L217" s="92"/>
      <c r="M217" s="92"/>
      <c r="P217" s="251"/>
      <c r="Q217" s="251"/>
      <c r="R217" s="251"/>
      <c r="S217" s="251"/>
      <c r="T217" s="251"/>
      <c r="U217" s="251"/>
      <c r="V217" s="251"/>
      <c r="W217" s="251"/>
      <c r="X217" s="251"/>
      <c r="Y217" s="251"/>
      <c r="Z217" s="251"/>
      <c r="AA217" s="251"/>
      <c r="AB217" s="251"/>
      <c r="AC217" s="287" t="s">
        <v>104</v>
      </c>
      <c r="AD217" s="288"/>
      <c r="AE217" s="288" t="s">
        <v>90</v>
      </c>
      <c r="AF217" s="288"/>
      <c r="AG217" s="288">
        <v>183</v>
      </c>
      <c r="AH217" s="288"/>
      <c r="AI217" s="288"/>
      <c r="AJ217" s="288">
        <f t="shared" si="17"/>
        <v>183</v>
      </c>
      <c r="AK217" s="288"/>
      <c r="AL217" s="289"/>
      <c r="AM217" s="251" t="str">
        <f t="shared" si="23"/>
        <v>Moving</v>
      </c>
      <c r="AN217" s="251" t="str">
        <f t="shared" si="22"/>
        <v>Please answer question 2a and complete section 3.</v>
      </c>
      <c r="AO217" s="290"/>
      <c r="AP217" s="287" t="str">
        <f t="shared" si="20"/>
        <v>Finland</v>
      </c>
      <c r="AQ217" s="251" t="str">
        <f ca="1" t="shared" si="21"/>
        <v>To qualify for tax exemption, you must not have a fixed base in Singapore and your physical presence in any 12-month period must not exceed  days.</v>
      </c>
      <c r="AR217" s="251"/>
      <c r="AS217" s="251"/>
      <c r="AT217" s="251"/>
      <c r="AU217" s="251"/>
      <c r="AV217" s="251"/>
      <c r="AW217" s="251"/>
      <c r="AX217" s="251"/>
      <c r="AY217" s="251"/>
      <c r="AZ217" s="251"/>
      <c r="BA217" s="251"/>
      <c r="BB217" s="251"/>
      <c r="BC217" s="251"/>
      <c r="BD217" s="251"/>
      <c r="BE217" s="251"/>
      <c r="BF217" s="251"/>
      <c r="BG217" s="251"/>
      <c r="BH217" s="251"/>
    </row>
    <row r="218" spans="2:60" ht="16.5">
      <c r="B218" s="1"/>
      <c r="C218" s="92"/>
      <c r="E218" s="92"/>
      <c r="F218" s="92"/>
      <c r="G218" s="92"/>
      <c r="H218" s="92"/>
      <c r="I218" s="92"/>
      <c r="J218" s="92"/>
      <c r="K218" s="92"/>
      <c r="L218" s="92"/>
      <c r="M218" s="92"/>
      <c r="P218" s="251"/>
      <c r="Q218" s="251"/>
      <c r="R218" s="251"/>
      <c r="S218" s="251"/>
      <c r="T218" s="251"/>
      <c r="U218" s="251"/>
      <c r="V218" s="251"/>
      <c r="W218" s="251"/>
      <c r="X218" s="251"/>
      <c r="Y218" s="251"/>
      <c r="Z218" s="251"/>
      <c r="AA218" s="251"/>
      <c r="AB218" s="251"/>
      <c r="AC218" s="287" t="s">
        <v>105</v>
      </c>
      <c r="AD218" s="291"/>
      <c r="AE218" s="288" t="s">
        <v>90</v>
      </c>
      <c r="AF218" s="288"/>
      <c r="AG218" s="288"/>
      <c r="AH218" s="288"/>
      <c r="AI218" s="288">
        <v>365</v>
      </c>
      <c r="AJ218" s="288">
        <f t="shared" si="17"/>
        <v>365</v>
      </c>
      <c r="AK218" s="288"/>
      <c r="AL218" s="289"/>
      <c r="AM218" s="251" t="str">
        <f t="shared" si="23"/>
        <v>Moving</v>
      </c>
      <c r="AN218" s="251" t="str">
        <f t="shared" si="22"/>
        <v>Please answer question 2a and complete section 3.</v>
      </c>
      <c r="AO218" s="290">
        <v>42736</v>
      </c>
      <c r="AP218" s="287" t="str">
        <f t="shared" si="20"/>
        <v>France</v>
      </c>
      <c r="AQ218" s="251" t="str">
        <f ca="1" t="shared" si="21"/>
        <v>To qualify for tax exemption, you must not have a fixed base in Singapore and your physical presence in any 12-month period must not exceed  days.</v>
      </c>
      <c r="AR218" s="251"/>
      <c r="AS218" s="251"/>
      <c r="AT218" s="251"/>
      <c r="AU218" s="251"/>
      <c r="AV218" s="251"/>
      <c r="AW218" s="251"/>
      <c r="AX218" s="251"/>
      <c r="AY218" s="251"/>
      <c r="AZ218" s="251"/>
      <c r="BA218" s="251"/>
      <c r="BB218" s="251"/>
      <c r="BC218" s="251"/>
      <c r="BD218" s="251"/>
      <c r="BE218" s="251"/>
      <c r="BF218" s="251"/>
      <c r="BG218" s="251"/>
      <c r="BH218" s="251"/>
    </row>
    <row r="219" spans="2:60" ht="16.5">
      <c r="B219" s="1"/>
      <c r="C219" s="92"/>
      <c r="E219" s="92"/>
      <c r="F219" s="92"/>
      <c r="G219" s="92"/>
      <c r="H219" s="92"/>
      <c r="I219" s="92"/>
      <c r="J219" s="92"/>
      <c r="K219" s="92"/>
      <c r="L219" s="92"/>
      <c r="M219" s="92"/>
      <c r="P219" s="251"/>
      <c r="Q219" s="251"/>
      <c r="R219" s="251"/>
      <c r="S219" s="251"/>
      <c r="T219" s="251"/>
      <c r="U219" s="251"/>
      <c r="V219" s="251"/>
      <c r="W219" s="251"/>
      <c r="X219" s="251"/>
      <c r="Y219" s="251"/>
      <c r="Z219" s="251"/>
      <c r="AA219" s="251"/>
      <c r="AB219" s="251"/>
      <c r="AC219" s="287" t="s">
        <v>106</v>
      </c>
      <c r="AD219" s="288"/>
      <c r="AE219" s="288" t="s">
        <v>90</v>
      </c>
      <c r="AF219" s="288">
        <v>183</v>
      </c>
      <c r="AG219" s="288"/>
      <c r="AH219" s="288"/>
      <c r="AI219" s="288"/>
      <c r="AJ219" s="288">
        <f t="shared" si="17"/>
        <v>183</v>
      </c>
      <c r="AK219" s="288"/>
      <c r="AL219" s="289"/>
      <c r="AM219" s="251" t="str">
        <f t="shared" si="23"/>
        <v>Calendar</v>
      </c>
      <c r="AN219" s="251" t="str">
        <f t="shared" si="22"/>
        <v>Please answer question 2a and complete section 3.</v>
      </c>
      <c r="AO219" s="290"/>
      <c r="AP219" s="287" t="str">
        <f t="shared" si="20"/>
        <v>Germany</v>
      </c>
      <c r="AQ219" s="251" t="str">
        <f ca="1" t="shared" si="21"/>
        <v>To qualify for tax exemption, you must not have a fixed base in Singapore and your physical presence in any 12-month period must not exceed  days.</v>
      </c>
      <c r="AR219" s="251"/>
      <c r="AS219" s="251"/>
      <c r="AT219" s="251"/>
      <c r="AU219" s="251"/>
      <c r="AV219" s="251"/>
      <c r="AW219" s="251"/>
      <c r="AX219" s="251"/>
      <c r="AY219" s="251"/>
      <c r="AZ219" s="251"/>
      <c r="BA219" s="251"/>
      <c r="BB219" s="251"/>
      <c r="BC219" s="251"/>
      <c r="BD219" s="251"/>
      <c r="BE219" s="251"/>
      <c r="BF219" s="251"/>
      <c r="BG219" s="251"/>
      <c r="BH219" s="251"/>
    </row>
    <row r="220" spans="2:60" ht="16.5">
      <c r="B220" s="1"/>
      <c r="C220" s="92"/>
      <c r="E220" s="92"/>
      <c r="F220" s="92"/>
      <c r="G220" s="92"/>
      <c r="H220" s="92"/>
      <c r="I220" s="92"/>
      <c r="J220" s="92"/>
      <c r="K220" s="92"/>
      <c r="L220" s="92"/>
      <c r="M220" s="92"/>
      <c r="P220" s="251"/>
      <c r="Q220" s="251"/>
      <c r="R220" s="251"/>
      <c r="S220" s="251"/>
      <c r="T220" s="251"/>
      <c r="U220" s="251"/>
      <c r="V220" s="251"/>
      <c r="W220" s="251"/>
      <c r="X220" s="251"/>
      <c r="Y220" s="251"/>
      <c r="Z220" s="251"/>
      <c r="AA220" s="251"/>
      <c r="AB220" s="251"/>
      <c r="AC220" s="287" t="s">
        <v>184</v>
      </c>
      <c r="AD220" s="291"/>
      <c r="AE220" s="288" t="s">
        <v>90</v>
      </c>
      <c r="AF220" s="288"/>
      <c r="AG220" s="288">
        <v>183</v>
      </c>
      <c r="AH220" s="288"/>
      <c r="AI220" s="288"/>
      <c r="AJ220" s="288">
        <f t="shared" si="17"/>
        <v>183</v>
      </c>
      <c r="AK220" s="288"/>
      <c r="AL220" s="289"/>
      <c r="AM220" s="251" t="str">
        <f t="shared" si="23"/>
        <v>Moving</v>
      </c>
      <c r="AN220" s="251" t="str">
        <f t="shared" si="22"/>
        <v>Please answer question 2a and complete section 3.</v>
      </c>
      <c r="AO220" s="290"/>
      <c r="AP220" s="287" t="str">
        <f t="shared" si="20"/>
        <v>Georgia</v>
      </c>
      <c r="AQ220" s="251" t="str">
        <f ca="1" t="shared" si="21"/>
        <v>To qualify for tax exemption, you must not have a fixed base in Singapore and your physical presence in any 12-month period must not exceed  days.</v>
      </c>
      <c r="AR220" s="251"/>
      <c r="AS220" s="251"/>
      <c r="AT220" s="251"/>
      <c r="AU220" s="251"/>
      <c r="AV220" s="251"/>
      <c r="AW220" s="251"/>
      <c r="AX220" s="251"/>
      <c r="AY220" s="251"/>
      <c r="AZ220" s="251"/>
      <c r="BA220" s="251"/>
      <c r="BB220" s="251"/>
      <c r="BC220" s="251"/>
      <c r="BD220" s="251"/>
      <c r="BE220" s="251"/>
      <c r="BF220" s="251"/>
      <c r="BG220" s="251"/>
      <c r="BH220" s="251"/>
    </row>
    <row r="221" spans="2:60" ht="16.5">
      <c r="B221" s="1"/>
      <c r="C221" s="92"/>
      <c r="E221" s="92"/>
      <c r="F221" s="92"/>
      <c r="G221" s="92"/>
      <c r="H221" s="92"/>
      <c r="I221" s="92"/>
      <c r="J221" s="92"/>
      <c r="K221" s="92"/>
      <c r="L221" s="92"/>
      <c r="M221" s="92"/>
      <c r="P221" s="251"/>
      <c r="Q221" s="251"/>
      <c r="R221" s="251"/>
      <c r="S221" s="251"/>
      <c r="T221" s="251"/>
      <c r="U221" s="251"/>
      <c r="V221" s="251"/>
      <c r="W221" s="251"/>
      <c r="X221" s="251"/>
      <c r="Y221" s="251"/>
      <c r="Z221" s="251"/>
      <c r="AA221" s="251"/>
      <c r="AB221" s="251"/>
      <c r="AC221" s="287" t="s">
        <v>300</v>
      </c>
      <c r="AD221" s="291"/>
      <c r="AE221" s="288" t="s">
        <v>90</v>
      </c>
      <c r="AF221" s="288"/>
      <c r="AG221" s="288">
        <v>183</v>
      </c>
      <c r="AH221" s="288"/>
      <c r="AI221" s="288"/>
      <c r="AJ221" s="288">
        <f t="shared" si="17"/>
        <v>183</v>
      </c>
      <c r="AK221" s="288"/>
      <c r="AL221" s="289"/>
      <c r="AM221" s="251" t="str">
        <f t="shared" si="23"/>
        <v>Moving</v>
      </c>
      <c r="AN221" s="251" t="str">
        <f t="shared" si="22"/>
        <v>Please answer question 2a and complete section 3.</v>
      </c>
      <c r="AO221" s="290">
        <v>43831</v>
      </c>
      <c r="AP221" s="287" t="str">
        <f t="shared" si="20"/>
        <v>Ghana</v>
      </c>
      <c r="AQ221" s="251" t="str">
        <f ca="1" t="shared" si="21"/>
        <v>To qualify for tax exemption, you must not have a fixed base in Singapore and your physical presence in any 12-month period must not exceed  days.</v>
      </c>
      <c r="AR221" s="251"/>
      <c r="AS221" s="251"/>
      <c r="AT221" s="251"/>
      <c r="AU221" s="251"/>
      <c r="AV221" s="251"/>
      <c r="AW221" s="251"/>
      <c r="AX221" s="251"/>
      <c r="AY221" s="251"/>
      <c r="AZ221" s="251"/>
      <c r="BA221" s="251"/>
      <c r="BB221" s="251"/>
      <c r="BC221" s="251"/>
      <c r="BD221" s="251"/>
      <c r="BE221" s="251"/>
      <c r="BF221" s="251"/>
      <c r="BG221" s="251"/>
      <c r="BH221" s="251"/>
    </row>
    <row r="222" spans="2:60" ht="16.5">
      <c r="B222" s="1"/>
      <c r="C222" s="92"/>
      <c r="E222" s="92"/>
      <c r="F222" s="92"/>
      <c r="G222" s="92"/>
      <c r="H222" s="92"/>
      <c r="I222" s="92"/>
      <c r="J222" s="92"/>
      <c r="K222" s="92"/>
      <c r="L222" s="92"/>
      <c r="M222" s="92"/>
      <c r="P222" s="251"/>
      <c r="Q222" s="251"/>
      <c r="R222" s="251"/>
      <c r="S222" s="251"/>
      <c r="T222" s="251"/>
      <c r="U222" s="251"/>
      <c r="V222" s="251"/>
      <c r="W222" s="251"/>
      <c r="X222" s="251"/>
      <c r="Y222" s="251"/>
      <c r="Z222" s="251"/>
      <c r="AA222" s="251"/>
      <c r="AB222" s="251"/>
      <c r="AC222" s="287" t="s">
        <v>208</v>
      </c>
      <c r="AD222" s="291"/>
      <c r="AE222" s="288" t="s">
        <v>90</v>
      </c>
      <c r="AF222" s="288"/>
      <c r="AG222" s="288"/>
      <c r="AH222" s="288"/>
      <c r="AI222" s="288">
        <v>365</v>
      </c>
      <c r="AJ222" s="288">
        <f t="shared" si="17"/>
        <v>365</v>
      </c>
      <c r="AK222" s="288"/>
      <c r="AL222" s="289"/>
      <c r="AM222" s="251" t="str">
        <f>IF(OR(ISBLANK(AF222)=FALSE,ISBLANK(AK222)=FALSE)=TRUE,"Calendar",IF(OR(ISBLANK(AG222)=FALSE,ISBLANK(AH222)=FALSE,ISBLANK(AI222)=FALSE)=TRUE,"Moving",""))</f>
        <v>Moving</v>
      </c>
      <c r="AN222" s="251" t="str">
        <f t="shared" si="22"/>
        <v>Please answer question 2a and complete section 3.</v>
      </c>
      <c r="AO222" s="290"/>
      <c r="AP222" s="287" t="str">
        <f t="shared" si="20"/>
        <v>Guernsey</v>
      </c>
      <c r="AQ222" s="251" t="str">
        <f ca="1" t="shared" si="21"/>
        <v>To qualify for tax exemption, you must not have a fixed base in Singapore and your physical presence in any 12-month period must not exceed  days.</v>
      </c>
      <c r="AR222" s="251"/>
      <c r="AS222" s="251"/>
      <c r="AT222" s="251"/>
      <c r="AU222" s="251"/>
      <c r="AV222" s="251"/>
      <c r="AW222" s="251"/>
      <c r="AX222" s="251"/>
      <c r="AY222" s="251"/>
      <c r="AZ222" s="251"/>
      <c r="BA222" s="251"/>
      <c r="BB222" s="251"/>
      <c r="BC222" s="251"/>
      <c r="BD222" s="251"/>
      <c r="BE222" s="251"/>
      <c r="BF222" s="251"/>
      <c r="BG222" s="251"/>
      <c r="BH222" s="251"/>
    </row>
    <row r="223" spans="2:60" ht="16.5">
      <c r="B223" s="1"/>
      <c r="C223" s="92"/>
      <c r="E223" s="92"/>
      <c r="F223" s="92"/>
      <c r="G223" s="92"/>
      <c r="H223" s="92"/>
      <c r="I223" s="92"/>
      <c r="J223" s="92"/>
      <c r="K223" s="92"/>
      <c r="L223" s="92"/>
      <c r="M223" s="92"/>
      <c r="P223" s="251"/>
      <c r="Q223" s="251"/>
      <c r="R223" s="251"/>
      <c r="S223" s="251"/>
      <c r="T223" s="251"/>
      <c r="U223" s="251"/>
      <c r="V223" s="251"/>
      <c r="W223" s="251"/>
      <c r="X223" s="251"/>
      <c r="Y223" s="251"/>
      <c r="Z223" s="251"/>
      <c r="AA223" s="251"/>
      <c r="AB223" s="251"/>
      <c r="AC223" s="287" t="s">
        <v>107</v>
      </c>
      <c r="AD223" s="288"/>
      <c r="AE223" s="288"/>
      <c r="AF223" s="288"/>
      <c r="AG223" s="288"/>
      <c r="AH223" s="288"/>
      <c r="AI223" s="288"/>
      <c r="AJ223" s="288"/>
      <c r="AK223" s="288"/>
      <c r="AL223" s="289"/>
      <c r="AM223" s="251"/>
      <c r="AN223" s="251" t="str">
        <f t="shared" si="22"/>
        <v>None - Limited Treaty</v>
      </c>
      <c r="AO223" s="290"/>
      <c r="AP223" s="287" t="str">
        <f t="shared" si="20"/>
        <v>Hong Kong</v>
      </c>
      <c r="AQ223" s="251" t="str">
        <f ca="1" t="shared" si="21"/>
        <v>The current limited tax treaty does not provide for tax exemption for the services rendered by non-resident professionals. Please see result below.</v>
      </c>
      <c r="AR223" s="251"/>
      <c r="AS223" s="251"/>
      <c r="AT223" s="251"/>
      <c r="AU223" s="251"/>
      <c r="AV223" s="251"/>
      <c r="AW223" s="251"/>
      <c r="AX223" s="251"/>
      <c r="AY223" s="251"/>
      <c r="AZ223" s="251"/>
      <c r="BA223" s="251"/>
      <c r="BB223" s="251"/>
      <c r="BC223" s="251"/>
      <c r="BD223" s="251"/>
      <c r="BE223" s="251"/>
      <c r="BF223" s="251"/>
      <c r="BG223" s="251"/>
      <c r="BH223" s="251"/>
    </row>
    <row r="224" spans="2:60" ht="16.5">
      <c r="B224" s="1"/>
      <c r="C224" s="92"/>
      <c r="E224" s="92"/>
      <c r="F224" s="92"/>
      <c r="G224" s="92"/>
      <c r="H224" s="92"/>
      <c r="I224" s="92"/>
      <c r="J224" s="92"/>
      <c r="K224" s="92"/>
      <c r="L224" s="92"/>
      <c r="M224" s="92"/>
      <c r="P224" s="251"/>
      <c r="Q224" s="251"/>
      <c r="R224" s="251"/>
      <c r="S224" s="251"/>
      <c r="T224" s="251"/>
      <c r="U224" s="251"/>
      <c r="V224" s="251"/>
      <c r="W224" s="251"/>
      <c r="X224" s="251"/>
      <c r="Y224" s="251"/>
      <c r="Z224" s="251"/>
      <c r="AA224" s="251"/>
      <c r="AB224" s="251"/>
      <c r="AC224" s="287" t="s">
        <v>108</v>
      </c>
      <c r="AD224" s="288"/>
      <c r="AE224" s="288" t="s">
        <v>90</v>
      </c>
      <c r="AF224" s="288"/>
      <c r="AG224" s="288">
        <f>183-1</f>
        <v>182</v>
      </c>
      <c r="AH224" s="288"/>
      <c r="AI224" s="288"/>
      <c r="AJ224" s="288">
        <f t="shared" si="17"/>
        <v>182</v>
      </c>
      <c r="AK224" s="288"/>
      <c r="AL224" s="289"/>
      <c r="AM224" s="251" t="str">
        <f aca="true" t="shared" si="24" ref="AM224:AM283">IF(OR(ISBLANK(AF224)=FALSE,ISBLANK(AK224)=FALSE)=TRUE,"Calendar",IF(OR(ISBLANK(AG224)=FALSE,ISBLANK(AH224)=FALSE,ISBLANK(AI224)=FALSE)=TRUE,"Moving",""))</f>
        <v>Moving</v>
      </c>
      <c r="AN224" s="251" t="str">
        <f aca="true" t="shared" si="25" ref="AN224:AN242">IF(ISBLANK(AK224)=FALSE,$AC$152,IF(ISBLANK(AH224)=FALSE,$AC$153,IF(OR(ISBLANK(AG224)=FALSE,ISBLANK(AF224)=FALSE,ISBLANK(AI224)=FALSE)=TRUE,$AC$151,IF(ISBLANK(AE224)=FALSE,$AC$150,IF(ISBLANK(AD224)=FALSE,$AC$149,$AC$154)))))</f>
        <v>Please answer question 2a and complete section 3.</v>
      </c>
      <c r="AO224" s="290"/>
      <c r="AP224" s="287" t="str">
        <f t="shared" si="20"/>
        <v>Hungary</v>
      </c>
      <c r="AQ224" s="251" t="str">
        <f ca="1" t="shared" si="21"/>
        <v>To qualify for tax exemption, you must not have a fixed base in Singapore and your physical presence in any 12-month period must not exceed  days.</v>
      </c>
      <c r="AR224" s="251"/>
      <c r="AS224" s="251"/>
      <c r="AT224" s="251"/>
      <c r="AU224" s="251"/>
      <c r="AV224" s="251"/>
      <c r="AW224" s="251"/>
      <c r="AX224" s="251"/>
      <c r="AY224" s="251"/>
      <c r="AZ224" s="251"/>
      <c r="BA224" s="251"/>
      <c r="BB224" s="251"/>
      <c r="BC224" s="251"/>
      <c r="BD224" s="251"/>
      <c r="BE224" s="251"/>
      <c r="BF224" s="251"/>
      <c r="BG224" s="251"/>
      <c r="BH224" s="251"/>
    </row>
    <row r="225" spans="2:60" ht="16.5">
      <c r="B225" s="1"/>
      <c r="C225" s="92"/>
      <c r="E225" s="92"/>
      <c r="F225" s="92"/>
      <c r="G225" s="92"/>
      <c r="H225" s="92"/>
      <c r="I225" s="92"/>
      <c r="J225" s="92"/>
      <c r="K225" s="92"/>
      <c r="L225" s="92"/>
      <c r="M225" s="92"/>
      <c r="P225" s="251"/>
      <c r="Q225" s="251"/>
      <c r="R225" s="251"/>
      <c r="S225" s="251"/>
      <c r="T225" s="251"/>
      <c r="U225" s="251"/>
      <c r="V225" s="251"/>
      <c r="W225" s="251"/>
      <c r="X225" s="251"/>
      <c r="Y225" s="251"/>
      <c r="Z225" s="251"/>
      <c r="AA225" s="251"/>
      <c r="AB225" s="251"/>
      <c r="AC225" s="287" t="s">
        <v>109</v>
      </c>
      <c r="AD225" s="288"/>
      <c r="AE225" s="288" t="s">
        <v>90</v>
      </c>
      <c r="AF225" s="288">
        <f>90-1</f>
        <v>89</v>
      </c>
      <c r="AG225" s="288"/>
      <c r="AH225" s="288"/>
      <c r="AI225" s="288"/>
      <c r="AJ225" s="288">
        <f t="shared" si="17"/>
        <v>89</v>
      </c>
      <c r="AK225" s="288"/>
      <c r="AL225" s="289"/>
      <c r="AM225" s="251" t="str">
        <f t="shared" si="24"/>
        <v>Calendar</v>
      </c>
      <c r="AN225" s="251" t="str">
        <f t="shared" si="25"/>
        <v>Please answer question 2a and complete section 3.</v>
      </c>
      <c r="AO225" s="290"/>
      <c r="AP225" s="287" t="str">
        <f t="shared" si="20"/>
        <v>India</v>
      </c>
      <c r="AQ225" s="251" t="str">
        <f ca="1" t="shared" si="21"/>
        <v>To qualify for tax exemption, you must not have a fixed base in Singapore and your physical presence in any 12-month period must not exceed  days.</v>
      </c>
      <c r="AR225" s="251"/>
      <c r="AS225" s="251"/>
      <c r="AT225" s="251"/>
      <c r="AU225" s="251"/>
      <c r="AV225" s="251"/>
      <c r="AW225" s="251"/>
      <c r="AX225" s="251"/>
      <c r="AY225" s="251"/>
      <c r="AZ225" s="251"/>
      <c r="BA225" s="251"/>
      <c r="BB225" s="251"/>
      <c r="BC225" s="251"/>
      <c r="BD225" s="251"/>
      <c r="BE225" s="251"/>
      <c r="BF225" s="251"/>
      <c r="BG225" s="251"/>
      <c r="BH225" s="251"/>
    </row>
    <row r="226" spans="2:60" ht="16.5">
      <c r="B226" s="1"/>
      <c r="C226" s="92"/>
      <c r="E226" s="92"/>
      <c r="F226" s="92"/>
      <c r="G226" s="92"/>
      <c r="H226" s="92"/>
      <c r="I226" s="92"/>
      <c r="J226" s="92"/>
      <c r="K226" s="92"/>
      <c r="L226" s="92"/>
      <c r="M226" s="92"/>
      <c r="P226" s="251"/>
      <c r="Q226" s="251"/>
      <c r="R226" s="251"/>
      <c r="S226" s="251"/>
      <c r="T226" s="251"/>
      <c r="U226" s="251"/>
      <c r="V226" s="251"/>
      <c r="W226" s="251"/>
      <c r="X226" s="251"/>
      <c r="Y226" s="251"/>
      <c r="Z226" s="251"/>
      <c r="AA226" s="251"/>
      <c r="AB226" s="251"/>
      <c r="AC226" s="287" t="s">
        <v>2</v>
      </c>
      <c r="AD226" s="288"/>
      <c r="AE226" s="288"/>
      <c r="AF226" s="288"/>
      <c r="AG226" s="288"/>
      <c r="AH226" s="288">
        <v>89</v>
      </c>
      <c r="AI226" s="288"/>
      <c r="AJ226" s="288">
        <f t="shared" si="17"/>
        <v>89</v>
      </c>
      <c r="AK226" s="288"/>
      <c r="AL226" s="289"/>
      <c r="AM226" s="251" t="str">
        <f t="shared" si="24"/>
        <v>Moving</v>
      </c>
      <c r="AN226" s="251" t="str">
        <f t="shared" si="25"/>
        <v>Please complete section 3.</v>
      </c>
      <c r="AO226" s="290">
        <v>44562</v>
      </c>
      <c r="AP226" s="287" t="str">
        <f t="shared" si="20"/>
        <v>Indonesia</v>
      </c>
      <c r="AQ226" s="251" t="s">
        <v>328</v>
      </c>
      <c r="AR226" s="251"/>
      <c r="AS226" s="251"/>
      <c r="AT226" s="251"/>
      <c r="AU226" s="251"/>
      <c r="AV226" s="251"/>
      <c r="AW226" s="251"/>
      <c r="AX226" s="251"/>
      <c r="AY226" s="251"/>
      <c r="AZ226" s="251"/>
      <c r="BA226" s="251"/>
      <c r="BB226" s="251"/>
      <c r="BC226" s="251"/>
      <c r="BD226" s="251"/>
      <c r="BE226" s="251"/>
      <c r="BF226" s="251"/>
      <c r="BG226" s="251"/>
      <c r="BH226" s="251"/>
    </row>
    <row r="227" spans="2:60" ht="16.5">
      <c r="B227" s="1"/>
      <c r="C227" s="92"/>
      <c r="E227" s="92"/>
      <c r="F227" s="92"/>
      <c r="G227" s="92"/>
      <c r="H227" s="92"/>
      <c r="I227" s="92"/>
      <c r="J227" s="92"/>
      <c r="K227" s="92"/>
      <c r="L227" s="92"/>
      <c r="M227" s="92"/>
      <c r="P227" s="251"/>
      <c r="Q227" s="251"/>
      <c r="R227" s="251"/>
      <c r="S227" s="251"/>
      <c r="T227" s="251"/>
      <c r="U227" s="251"/>
      <c r="V227" s="251"/>
      <c r="W227" s="251"/>
      <c r="X227" s="251"/>
      <c r="Y227" s="251"/>
      <c r="Z227" s="251"/>
      <c r="AA227" s="251"/>
      <c r="AB227" s="251"/>
      <c r="AC227" s="287" t="s">
        <v>183</v>
      </c>
      <c r="AD227" s="288"/>
      <c r="AE227" s="288" t="s">
        <v>90</v>
      </c>
      <c r="AF227" s="288"/>
      <c r="AG227" s="288">
        <v>183</v>
      </c>
      <c r="AH227" s="288"/>
      <c r="AI227" s="288"/>
      <c r="AJ227" s="288">
        <f t="shared" si="17"/>
        <v>183</v>
      </c>
      <c r="AK227" s="288"/>
      <c r="AL227" s="289"/>
      <c r="AM227" s="251" t="str">
        <f t="shared" si="24"/>
        <v>Moving</v>
      </c>
      <c r="AN227" s="251" t="str">
        <f t="shared" si="25"/>
        <v>Please answer question 2a and complete section 3.</v>
      </c>
      <c r="AO227" s="290"/>
      <c r="AP227" s="287" t="str">
        <f t="shared" si="20"/>
        <v>Ireland</v>
      </c>
      <c r="AQ227" s="251" t="str">
        <f ca="1" t="shared" si="21"/>
        <v>To qualify for tax exemption, you must not have a fixed base in Singapore and your physical presence in any 12-month period must not exceed  days.</v>
      </c>
      <c r="AR227" s="251"/>
      <c r="AS227" s="251"/>
      <c r="AT227" s="251"/>
      <c r="AU227" s="251"/>
      <c r="AV227" s="251"/>
      <c r="AW227" s="251"/>
      <c r="AX227" s="251"/>
      <c r="AY227" s="251"/>
      <c r="AZ227" s="251"/>
      <c r="BA227" s="251"/>
      <c r="BB227" s="251"/>
      <c r="BC227" s="251"/>
      <c r="BD227" s="251"/>
      <c r="BE227" s="251"/>
      <c r="BF227" s="251"/>
      <c r="BG227" s="251"/>
      <c r="BH227" s="251"/>
    </row>
    <row r="228" spans="2:60" ht="16.5">
      <c r="B228" s="1"/>
      <c r="C228" s="92"/>
      <c r="E228" s="92"/>
      <c r="F228" s="92"/>
      <c r="G228" s="92"/>
      <c r="H228" s="92"/>
      <c r="I228" s="92"/>
      <c r="J228" s="92"/>
      <c r="K228" s="92"/>
      <c r="L228" s="92"/>
      <c r="M228" s="92"/>
      <c r="P228" s="251"/>
      <c r="Q228" s="251"/>
      <c r="R228" s="251"/>
      <c r="S228" s="251"/>
      <c r="T228" s="251"/>
      <c r="U228" s="251"/>
      <c r="V228" s="251"/>
      <c r="W228" s="251"/>
      <c r="X228" s="251"/>
      <c r="Y228" s="251"/>
      <c r="Z228" s="251"/>
      <c r="AA228" s="251"/>
      <c r="AB228" s="251"/>
      <c r="AC228" s="287" t="s">
        <v>209</v>
      </c>
      <c r="AD228" s="288"/>
      <c r="AE228" s="288" t="s">
        <v>90</v>
      </c>
      <c r="AF228" s="288"/>
      <c r="AG228" s="288"/>
      <c r="AH228" s="288"/>
      <c r="AI228" s="288">
        <v>365</v>
      </c>
      <c r="AJ228" s="288">
        <f t="shared" si="17"/>
        <v>365</v>
      </c>
      <c r="AK228" s="288"/>
      <c r="AL228" s="289"/>
      <c r="AM228" s="251" t="str">
        <f t="shared" si="24"/>
        <v>Moving</v>
      </c>
      <c r="AN228" s="251" t="str">
        <f t="shared" si="25"/>
        <v>Please answer question 2a and complete section 3.</v>
      </c>
      <c r="AO228" s="290"/>
      <c r="AP228" s="287" t="str">
        <f t="shared" si="20"/>
        <v>Isle of Man</v>
      </c>
      <c r="AQ228" s="251" t="str">
        <f ca="1" t="shared" si="21"/>
        <v>To qualify for tax exemption, you must not have a fixed base in Singapore and your physical presence in any 12-month period must not exceed  days.</v>
      </c>
      <c r="AR228" s="251"/>
      <c r="AS228" s="251"/>
      <c r="AT228" s="251"/>
      <c r="AU228" s="251"/>
      <c r="AV228" s="251"/>
      <c r="AW228" s="251"/>
      <c r="AX228" s="251"/>
      <c r="AY228" s="251"/>
      <c r="AZ228" s="251"/>
      <c r="BA228" s="251"/>
      <c r="BB228" s="251"/>
      <c r="BC228" s="251"/>
      <c r="BD228" s="251"/>
      <c r="BE228" s="251"/>
      <c r="BF228" s="251"/>
      <c r="BG228" s="251"/>
      <c r="BH228" s="251"/>
    </row>
    <row r="229" spans="2:60" ht="16.5">
      <c r="B229" s="1"/>
      <c r="C229" s="92"/>
      <c r="E229" s="92"/>
      <c r="F229" s="92"/>
      <c r="G229" s="92"/>
      <c r="H229" s="92"/>
      <c r="I229" s="92"/>
      <c r="J229" s="92"/>
      <c r="K229" s="92"/>
      <c r="L229" s="92"/>
      <c r="M229" s="92"/>
      <c r="P229" s="251"/>
      <c r="Q229" s="251"/>
      <c r="R229" s="251"/>
      <c r="S229" s="251"/>
      <c r="T229" s="251"/>
      <c r="U229" s="251"/>
      <c r="V229" s="251"/>
      <c r="W229" s="251"/>
      <c r="X229" s="251"/>
      <c r="Y229" s="251"/>
      <c r="Z229" s="251"/>
      <c r="AA229" s="251"/>
      <c r="AB229" s="251"/>
      <c r="AC229" s="287" t="s">
        <v>110</v>
      </c>
      <c r="AD229" s="288"/>
      <c r="AE229" s="288" t="s">
        <v>90</v>
      </c>
      <c r="AF229" s="288">
        <v>183</v>
      </c>
      <c r="AG229" s="288"/>
      <c r="AH229" s="288"/>
      <c r="AI229" s="288"/>
      <c r="AJ229" s="288">
        <f t="shared" si="17"/>
        <v>183</v>
      </c>
      <c r="AK229" s="288"/>
      <c r="AL229" s="289"/>
      <c r="AM229" s="251" t="str">
        <f t="shared" si="24"/>
        <v>Calendar</v>
      </c>
      <c r="AN229" s="251" t="str">
        <f t="shared" si="25"/>
        <v>Please answer question 2a and complete section 3.</v>
      </c>
      <c r="AO229" s="290"/>
      <c r="AP229" s="287" t="str">
        <f t="shared" si="20"/>
        <v>Israel</v>
      </c>
      <c r="AQ229" s="251" t="str">
        <f ca="1" t="shared" si="21"/>
        <v>To qualify for tax exemption, you must not have a fixed base in Singapore and your physical presence in any 12-month period must not exceed  days.</v>
      </c>
      <c r="AR229" s="251"/>
      <c r="AS229" s="251"/>
      <c r="AT229" s="251"/>
      <c r="AU229" s="251"/>
      <c r="AV229" s="251"/>
      <c r="AW229" s="251"/>
      <c r="AX229" s="251"/>
      <c r="AY229" s="251"/>
      <c r="AZ229" s="251"/>
      <c r="BA229" s="251"/>
      <c r="BB229" s="251"/>
      <c r="BC229" s="251"/>
      <c r="BD229" s="251"/>
      <c r="BE229" s="251"/>
      <c r="BF229" s="251"/>
      <c r="BG229" s="251"/>
      <c r="BH229" s="251"/>
    </row>
    <row r="230" spans="2:60" ht="16.5">
      <c r="B230" s="1"/>
      <c r="C230" s="92"/>
      <c r="E230" s="92"/>
      <c r="F230" s="92"/>
      <c r="G230" s="92"/>
      <c r="H230" s="92"/>
      <c r="I230" s="92"/>
      <c r="J230" s="92"/>
      <c r="K230" s="92"/>
      <c r="L230" s="92"/>
      <c r="M230" s="92"/>
      <c r="P230" s="251"/>
      <c r="Q230" s="251"/>
      <c r="R230" s="251"/>
      <c r="S230" s="251"/>
      <c r="T230" s="251"/>
      <c r="U230" s="251"/>
      <c r="V230" s="251"/>
      <c r="W230" s="251"/>
      <c r="X230" s="251"/>
      <c r="Y230" s="251"/>
      <c r="Z230" s="251"/>
      <c r="AA230" s="251"/>
      <c r="AB230" s="251"/>
      <c r="AC230" s="287" t="s">
        <v>111</v>
      </c>
      <c r="AD230" s="291" t="s">
        <v>88</v>
      </c>
      <c r="AE230" s="288"/>
      <c r="AF230" s="288"/>
      <c r="AG230" s="288"/>
      <c r="AH230" s="288"/>
      <c r="AI230" s="288"/>
      <c r="AJ230" s="288">
        <f t="shared" si="17"/>
        <v>0</v>
      </c>
      <c r="AK230" s="288"/>
      <c r="AL230" s="289"/>
      <c r="AM230" s="251">
        <f t="shared" si="24"/>
      </c>
      <c r="AN230" s="251" t="str">
        <f t="shared" si="25"/>
        <v>None - Assume Cost Borne</v>
      </c>
      <c r="AO230" s="290"/>
      <c r="AP230" s="287" t="str">
        <f t="shared" si="20"/>
        <v>Italy</v>
      </c>
      <c r="AQ230" s="251" t="str">
        <f ca="1" t="shared" si="21"/>
        <v>You do not qualify for tax exemption as your income is borne/paid by a Singapore entity.</v>
      </c>
      <c r="AR230" s="251"/>
      <c r="AS230" s="251"/>
      <c r="AT230" s="251"/>
      <c r="AU230" s="251"/>
      <c r="AV230" s="251"/>
      <c r="AW230" s="251"/>
      <c r="AX230" s="251"/>
      <c r="AY230" s="251"/>
      <c r="AZ230" s="251"/>
      <c r="BA230" s="251"/>
      <c r="BB230" s="251"/>
      <c r="BC230" s="251"/>
      <c r="BD230" s="251"/>
      <c r="BE230" s="251"/>
      <c r="BF230" s="251"/>
      <c r="BG230" s="251"/>
      <c r="BH230" s="251"/>
    </row>
    <row r="231" spans="2:60" ht="16.5">
      <c r="B231" s="1"/>
      <c r="C231" s="92"/>
      <c r="E231" s="92"/>
      <c r="F231" s="92"/>
      <c r="G231" s="92"/>
      <c r="H231" s="92"/>
      <c r="I231" s="92"/>
      <c r="J231" s="92"/>
      <c r="K231" s="92"/>
      <c r="L231" s="92"/>
      <c r="M231" s="92"/>
      <c r="P231" s="251"/>
      <c r="Q231" s="251"/>
      <c r="R231" s="251"/>
      <c r="S231" s="251"/>
      <c r="T231" s="251"/>
      <c r="U231" s="251"/>
      <c r="V231" s="251"/>
      <c r="W231" s="251"/>
      <c r="X231" s="251"/>
      <c r="Y231" s="251"/>
      <c r="Z231" s="251"/>
      <c r="AA231" s="251"/>
      <c r="AB231" s="251"/>
      <c r="AC231" s="287" t="s">
        <v>112</v>
      </c>
      <c r="AD231" s="288"/>
      <c r="AE231" s="288" t="s">
        <v>90</v>
      </c>
      <c r="AF231" s="288"/>
      <c r="AG231" s="288">
        <v>183</v>
      </c>
      <c r="AH231" s="288"/>
      <c r="AI231" s="288"/>
      <c r="AJ231" s="288">
        <f t="shared" si="17"/>
        <v>183</v>
      </c>
      <c r="AK231" s="288"/>
      <c r="AL231" s="289"/>
      <c r="AM231" s="251" t="str">
        <f t="shared" si="24"/>
        <v>Moving</v>
      </c>
      <c r="AN231" s="251" t="str">
        <f t="shared" si="25"/>
        <v>Please answer question 2a and complete section 3.</v>
      </c>
      <c r="AO231" s="290"/>
      <c r="AP231" s="287" t="str">
        <f t="shared" si="20"/>
        <v>Japan</v>
      </c>
      <c r="AQ231" s="251" t="str">
        <f ca="1" t="shared" si="21"/>
        <v>To qualify for tax exemption, you must not have a fixed base in Singapore and your physical presence in any 12-month period must not exceed  days.</v>
      </c>
      <c r="AR231" s="251"/>
      <c r="AS231" s="251"/>
      <c r="AT231" s="251"/>
      <c r="AU231" s="251"/>
      <c r="AV231" s="251"/>
      <c r="AW231" s="251"/>
      <c r="AX231" s="251"/>
      <c r="AY231" s="251"/>
      <c r="AZ231" s="251"/>
      <c r="BA231" s="251"/>
      <c r="BB231" s="251"/>
      <c r="BC231" s="251"/>
      <c r="BD231" s="251"/>
      <c r="BE231" s="251"/>
      <c r="BF231" s="251"/>
      <c r="BG231" s="251"/>
      <c r="BH231" s="251"/>
    </row>
    <row r="232" spans="2:60" ht="16.5">
      <c r="B232" s="1"/>
      <c r="C232" s="92"/>
      <c r="E232" s="92"/>
      <c r="F232" s="92"/>
      <c r="G232" s="92"/>
      <c r="H232" s="92"/>
      <c r="I232" s="92"/>
      <c r="J232" s="92"/>
      <c r="K232" s="92"/>
      <c r="L232" s="92"/>
      <c r="M232" s="92"/>
      <c r="P232" s="251"/>
      <c r="Q232" s="251"/>
      <c r="R232" s="251"/>
      <c r="S232" s="251"/>
      <c r="T232" s="251"/>
      <c r="U232" s="251"/>
      <c r="V232" s="251"/>
      <c r="W232" s="251"/>
      <c r="X232" s="251"/>
      <c r="Y232" s="251"/>
      <c r="Z232" s="251"/>
      <c r="AA232" s="251"/>
      <c r="AB232" s="251"/>
      <c r="AC232" s="287" t="s">
        <v>210</v>
      </c>
      <c r="AD232" s="288"/>
      <c r="AE232" s="288" t="s">
        <v>90</v>
      </c>
      <c r="AF232" s="288"/>
      <c r="AG232" s="288"/>
      <c r="AH232" s="288"/>
      <c r="AI232" s="288">
        <v>365</v>
      </c>
      <c r="AJ232" s="288">
        <f t="shared" si="17"/>
        <v>365</v>
      </c>
      <c r="AK232" s="288"/>
      <c r="AL232" s="289"/>
      <c r="AM232" s="251" t="str">
        <f t="shared" si="24"/>
        <v>Moving</v>
      </c>
      <c r="AN232" s="251" t="str">
        <f t="shared" si="25"/>
        <v>Please answer question 2a and complete section 3.</v>
      </c>
      <c r="AO232" s="290"/>
      <c r="AP232" s="287" t="str">
        <f t="shared" si="20"/>
        <v>Jersey</v>
      </c>
      <c r="AQ232" s="251" t="str">
        <f ca="1" t="shared" si="21"/>
        <v>To qualify for tax exemption, you must not have a fixed base in Singapore and your physical presence in any 12-month period must not exceed  days.</v>
      </c>
      <c r="AR232" s="251"/>
      <c r="AS232" s="251"/>
      <c r="AT232" s="251"/>
      <c r="AU232" s="251"/>
      <c r="AV232" s="251"/>
      <c r="AW232" s="251"/>
      <c r="AX232" s="251"/>
      <c r="AY232" s="251"/>
      <c r="AZ232" s="251"/>
      <c r="BA232" s="251"/>
      <c r="BB232" s="251"/>
      <c r="BC232" s="251"/>
      <c r="BD232" s="251"/>
      <c r="BE232" s="251"/>
      <c r="BF232" s="251"/>
      <c r="BG232" s="251"/>
      <c r="BH232" s="251"/>
    </row>
    <row r="233" spans="2:60" ht="16.5">
      <c r="B233" s="1"/>
      <c r="C233" s="92"/>
      <c r="E233" s="92"/>
      <c r="F233" s="92"/>
      <c r="G233" s="92"/>
      <c r="H233" s="92"/>
      <c r="I233" s="92"/>
      <c r="J233" s="92"/>
      <c r="K233" s="92"/>
      <c r="L233" s="92"/>
      <c r="M233" s="92"/>
      <c r="P233" s="251"/>
      <c r="Q233" s="251"/>
      <c r="R233" s="251"/>
      <c r="S233" s="251"/>
      <c r="T233" s="251"/>
      <c r="U233" s="251"/>
      <c r="V233" s="251"/>
      <c r="W233" s="251"/>
      <c r="X233" s="251"/>
      <c r="Y233" s="251"/>
      <c r="Z233" s="251"/>
      <c r="AA233" s="251"/>
      <c r="AB233" s="251"/>
      <c r="AC233" s="287" t="s">
        <v>320</v>
      </c>
      <c r="AD233" s="288"/>
      <c r="AE233" s="288" t="s">
        <v>90</v>
      </c>
      <c r="AF233" s="288"/>
      <c r="AG233" s="288">
        <v>182</v>
      </c>
      <c r="AH233" s="288"/>
      <c r="AI233" s="288"/>
      <c r="AJ233" s="288">
        <f t="shared" si="17"/>
        <v>182</v>
      </c>
      <c r="AK233" s="288"/>
      <c r="AL233" s="289"/>
      <c r="AM233" s="251" t="str">
        <f t="shared" si="24"/>
        <v>Moving</v>
      </c>
      <c r="AN233" s="251" t="str">
        <f t="shared" si="25"/>
        <v>Please answer question 2a and complete section 3.</v>
      </c>
      <c r="AO233" s="290">
        <v>44562</v>
      </c>
      <c r="AP233" s="287" t="str">
        <f t="shared" si="20"/>
        <v>Jordan</v>
      </c>
      <c r="AQ233" s="251" t="str">
        <f ca="1" t="shared" si="21"/>
        <v>With effect from 1 Jan 2022, to qualify for tax exemption, you must not have a fixed base in Singapore and your physical presence in any 12-month period must not exceed  days.</v>
      </c>
      <c r="AR233" s="251"/>
      <c r="AS233" s="251"/>
      <c r="AT233" s="251"/>
      <c r="AU233" s="251"/>
      <c r="AV233" s="251"/>
      <c r="AW233" s="251"/>
      <c r="AX233" s="251"/>
      <c r="AY233" s="251"/>
      <c r="AZ233" s="251"/>
      <c r="BA233" s="251"/>
      <c r="BB233" s="251"/>
      <c r="BC233" s="251"/>
      <c r="BD233" s="251"/>
      <c r="BE233" s="251"/>
      <c r="BF233" s="251"/>
      <c r="BG233" s="251"/>
      <c r="BH233" s="251"/>
    </row>
    <row r="234" spans="2:60" ht="16.5">
      <c r="B234" s="1"/>
      <c r="C234" s="92"/>
      <c r="E234" s="92"/>
      <c r="F234" s="92"/>
      <c r="G234" s="92"/>
      <c r="H234" s="92"/>
      <c r="I234" s="92"/>
      <c r="J234" s="92"/>
      <c r="K234" s="92"/>
      <c r="L234" s="92"/>
      <c r="M234" s="92"/>
      <c r="P234" s="251"/>
      <c r="Q234" s="251"/>
      <c r="R234" s="251"/>
      <c r="S234" s="251"/>
      <c r="T234" s="251"/>
      <c r="U234" s="251"/>
      <c r="V234" s="251"/>
      <c r="W234" s="251"/>
      <c r="X234" s="251"/>
      <c r="Y234" s="251"/>
      <c r="Z234" s="251"/>
      <c r="AA234" s="251"/>
      <c r="AB234" s="251"/>
      <c r="AC234" s="287" t="s">
        <v>113</v>
      </c>
      <c r="AD234" s="288"/>
      <c r="AE234" s="288" t="s">
        <v>90</v>
      </c>
      <c r="AF234" s="288"/>
      <c r="AG234" s="288">
        <v>183</v>
      </c>
      <c r="AH234" s="288"/>
      <c r="AI234" s="288"/>
      <c r="AJ234" s="288">
        <f t="shared" si="17"/>
        <v>183</v>
      </c>
      <c r="AK234" s="288"/>
      <c r="AL234" s="289"/>
      <c r="AM234" s="251" t="str">
        <f t="shared" si="24"/>
        <v>Moving</v>
      </c>
      <c r="AN234" s="251" t="str">
        <f t="shared" si="25"/>
        <v>Please answer question 2a and complete section 3.</v>
      </c>
      <c r="AO234" s="290"/>
      <c r="AP234" s="287" t="str">
        <f aca="true" t="shared" si="26" ref="AP234:AP273">AC234</f>
        <v>Kazakhstan</v>
      </c>
      <c r="AQ234" s="251" t="str">
        <f ca="1" t="shared" si="21"/>
        <v>To qualify for tax exemption, you must not have a fixed base in Singapore and your physical presence in any 12-month period must not exceed  days.</v>
      </c>
      <c r="AR234" s="251"/>
      <c r="AS234" s="251"/>
      <c r="AT234" s="251"/>
      <c r="AU234" s="251"/>
      <c r="AV234" s="251"/>
      <c r="AW234" s="251"/>
      <c r="AX234" s="251"/>
      <c r="AY234" s="251"/>
      <c r="AZ234" s="251"/>
      <c r="BA234" s="251"/>
      <c r="BB234" s="251"/>
      <c r="BC234" s="251"/>
      <c r="BD234" s="251"/>
      <c r="BE234" s="251"/>
      <c r="BF234" s="251"/>
      <c r="BG234" s="251"/>
      <c r="BH234" s="251"/>
    </row>
    <row r="235" spans="2:60" ht="16.5">
      <c r="B235" s="1"/>
      <c r="C235" s="92"/>
      <c r="E235" s="92"/>
      <c r="F235" s="92"/>
      <c r="G235" s="92"/>
      <c r="H235" s="92"/>
      <c r="I235" s="92"/>
      <c r="J235" s="92"/>
      <c r="K235" s="92"/>
      <c r="L235" s="92"/>
      <c r="M235" s="92"/>
      <c r="P235" s="251"/>
      <c r="Q235" s="251"/>
      <c r="R235" s="251"/>
      <c r="S235" s="251"/>
      <c r="T235" s="251"/>
      <c r="U235" s="251"/>
      <c r="V235" s="251"/>
      <c r="W235" s="251"/>
      <c r="X235" s="251"/>
      <c r="Y235" s="251"/>
      <c r="Z235" s="251"/>
      <c r="AA235" s="251"/>
      <c r="AB235" s="251"/>
      <c r="AC235" s="287" t="s">
        <v>115</v>
      </c>
      <c r="AD235" s="288"/>
      <c r="AE235" s="288" t="s">
        <v>90</v>
      </c>
      <c r="AF235" s="288"/>
      <c r="AG235" s="288">
        <f>183-1</f>
        <v>182</v>
      </c>
      <c r="AH235" s="288"/>
      <c r="AI235" s="288"/>
      <c r="AJ235" s="288">
        <f t="shared" si="17"/>
        <v>182</v>
      </c>
      <c r="AK235" s="288"/>
      <c r="AL235" s="289"/>
      <c r="AM235" s="251" t="str">
        <f t="shared" si="24"/>
        <v>Moving</v>
      </c>
      <c r="AN235" s="251" t="str">
        <f t="shared" si="25"/>
        <v>Please answer question 2a and complete section 3.</v>
      </c>
      <c r="AO235" s="290"/>
      <c r="AP235" s="287" t="str">
        <f t="shared" si="26"/>
        <v>Kuwait</v>
      </c>
      <c r="AQ235" s="251" t="str">
        <f ca="1" t="shared" si="21"/>
        <v>To qualify for tax exemption, you must not have a fixed base in Singapore and your physical presence in any 12-month period must not exceed  days.</v>
      </c>
      <c r="AR235" s="251"/>
      <c r="AS235" s="251"/>
      <c r="AT235" s="251"/>
      <c r="AU235" s="251"/>
      <c r="AV235" s="251"/>
      <c r="AW235" s="251"/>
      <c r="AX235" s="251"/>
      <c r="AY235" s="251"/>
      <c r="AZ235" s="251"/>
      <c r="BA235" s="251"/>
      <c r="BB235" s="251"/>
      <c r="BC235" s="251"/>
      <c r="BD235" s="251"/>
      <c r="BE235" s="251"/>
      <c r="BF235" s="251"/>
      <c r="BG235" s="251"/>
      <c r="BH235" s="251"/>
    </row>
    <row r="236" spans="2:60" ht="16.5">
      <c r="B236" s="1"/>
      <c r="C236" s="92"/>
      <c r="E236" s="92"/>
      <c r="F236" s="92"/>
      <c r="G236" s="92"/>
      <c r="H236" s="92"/>
      <c r="I236" s="92"/>
      <c r="J236" s="92"/>
      <c r="K236" s="92"/>
      <c r="L236" s="92"/>
      <c r="M236" s="92"/>
      <c r="P236" s="251"/>
      <c r="Q236" s="251"/>
      <c r="R236" s="251"/>
      <c r="S236" s="251"/>
      <c r="T236" s="251"/>
      <c r="U236" s="251"/>
      <c r="V236" s="251"/>
      <c r="W236" s="251"/>
      <c r="X236" s="251"/>
      <c r="Y236" s="251"/>
      <c r="Z236" s="251"/>
      <c r="AA236" s="251"/>
      <c r="AB236" s="251"/>
      <c r="AC236" s="287" t="s">
        <v>236</v>
      </c>
      <c r="AD236" s="288"/>
      <c r="AE236" s="288" t="s">
        <v>90</v>
      </c>
      <c r="AF236" s="288"/>
      <c r="AG236" s="288">
        <v>300</v>
      </c>
      <c r="AH236" s="288"/>
      <c r="AI236" s="288"/>
      <c r="AJ236" s="288">
        <v>300</v>
      </c>
      <c r="AK236" s="288"/>
      <c r="AL236" s="289"/>
      <c r="AM236" s="251" t="s">
        <v>62</v>
      </c>
      <c r="AN236" s="251" t="str">
        <f>IF(ISBLANK(AK236)=FALSE,$AC$152,IF(ISBLANK(AH236)=FALSE,$AC$153,IF(OR(ISBLANK(AG236)=FALSE,ISBLANK(AF236)=FALSE,ISBLANK(AI236)=FALSE)=TRUE,$AC$151,IF(ISBLANK(AE236)=FALSE,$AC$150,IF(ISBLANK(AD236)=FALSE,$AC$149,$AC$154)))))</f>
        <v>Please answer question 2a and complete section 3.</v>
      </c>
      <c r="AO236" s="290">
        <v>42736</v>
      </c>
      <c r="AP236" s="287" t="str">
        <f t="shared" si="26"/>
        <v>Laos</v>
      </c>
      <c r="AQ236" s="251" t="str">
        <f ca="1" t="shared" si="21"/>
        <v>To qualify for tax exemption, you must not have a fixed base in Singapore and your physical presence in any 12-month period must not exceed  days.</v>
      </c>
      <c r="AR236" s="251"/>
      <c r="AS236" s="251"/>
      <c r="AT236" s="251"/>
      <c r="AU236" s="251"/>
      <c r="AV236" s="251"/>
      <c r="AW236" s="251"/>
      <c r="AX236" s="251"/>
      <c r="AY236" s="251"/>
      <c r="AZ236" s="251"/>
      <c r="BA236" s="251"/>
      <c r="BB236" s="251"/>
      <c r="BC236" s="251"/>
      <c r="BD236" s="251"/>
      <c r="BE236" s="251"/>
      <c r="BF236" s="251"/>
      <c r="BG236" s="251"/>
      <c r="BH236" s="251"/>
    </row>
    <row r="237" spans="2:60" ht="16.5">
      <c r="B237" s="1"/>
      <c r="C237" s="92"/>
      <c r="E237" s="92"/>
      <c r="F237" s="92"/>
      <c r="G237" s="92"/>
      <c r="H237" s="92"/>
      <c r="I237" s="92"/>
      <c r="J237" s="92"/>
      <c r="K237" s="92"/>
      <c r="L237" s="92"/>
      <c r="M237" s="92"/>
      <c r="P237" s="251"/>
      <c r="Q237" s="251"/>
      <c r="R237" s="251"/>
      <c r="S237" s="251"/>
      <c r="T237" s="251"/>
      <c r="U237" s="251"/>
      <c r="V237" s="251"/>
      <c r="W237" s="251"/>
      <c r="X237" s="251"/>
      <c r="Y237" s="251"/>
      <c r="Z237" s="251"/>
      <c r="AA237" s="251"/>
      <c r="AB237" s="251"/>
      <c r="AC237" s="287" t="s">
        <v>116</v>
      </c>
      <c r="AD237" s="288"/>
      <c r="AE237" s="288" t="s">
        <v>90</v>
      </c>
      <c r="AF237" s="288"/>
      <c r="AG237" s="288">
        <v>183</v>
      </c>
      <c r="AH237" s="288"/>
      <c r="AI237" s="288"/>
      <c r="AJ237" s="288">
        <f t="shared" si="17"/>
        <v>183</v>
      </c>
      <c r="AK237" s="288"/>
      <c r="AL237" s="289"/>
      <c r="AM237" s="251" t="str">
        <f t="shared" si="24"/>
        <v>Moving</v>
      </c>
      <c r="AN237" s="251" t="str">
        <f t="shared" si="25"/>
        <v>Please answer question 2a and complete section 3.</v>
      </c>
      <c r="AO237" s="290"/>
      <c r="AP237" s="287" t="str">
        <f t="shared" si="26"/>
        <v>Latvia</v>
      </c>
      <c r="AQ237" s="251" t="str">
        <f ca="1" t="shared" si="21"/>
        <v>To qualify for tax exemption, you must not have a fixed base in Singapore and your physical presence in any 12-month period must not exceed  days.</v>
      </c>
      <c r="AR237" s="251"/>
      <c r="AS237" s="251"/>
      <c r="AT237" s="251"/>
      <c r="AU237" s="251"/>
      <c r="AV237" s="251"/>
      <c r="AW237" s="251"/>
      <c r="AX237" s="251"/>
      <c r="AY237" s="251"/>
      <c r="AZ237" s="251"/>
      <c r="BA237" s="251"/>
      <c r="BB237" s="251"/>
      <c r="BC237" s="251"/>
      <c r="BD237" s="251"/>
      <c r="BE237" s="251"/>
      <c r="BF237" s="251"/>
      <c r="BG237" s="251"/>
      <c r="BH237" s="251"/>
    </row>
    <row r="238" spans="2:60" ht="16.5">
      <c r="B238" s="1"/>
      <c r="C238" s="92"/>
      <c r="E238" s="92"/>
      <c r="F238" s="92"/>
      <c r="G238" s="92"/>
      <c r="H238" s="92"/>
      <c r="I238" s="92"/>
      <c r="J238" s="92"/>
      <c r="K238" s="92"/>
      <c r="L238" s="92"/>
      <c r="M238" s="92"/>
      <c r="P238" s="251"/>
      <c r="Q238" s="251"/>
      <c r="R238" s="251"/>
      <c r="S238" s="251"/>
      <c r="T238" s="251"/>
      <c r="U238" s="251"/>
      <c r="V238" s="251"/>
      <c r="W238" s="251"/>
      <c r="X238" s="251"/>
      <c r="Y238" s="251"/>
      <c r="Z238" s="251"/>
      <c r="AA238" s="251"/>
      <c r="AB238" s="251"/>
      <c r="AC238" s="287" t="s">
        <v>185</v>
      </c>
      <c r="AD238" s="288"/>
      <c r="AE238" s="288" t="s">
        <v>90</v>
      </c>
      <c r="AF238" s="288"/>
      <c r="AG238" s="288">
        <v>183</v>
      </c>
      <c r="AH238" s="288"/>
      <c r="AI238" s="288"/>
      <c r="AJ238" s="288">
        <f t="shared" si="17"/>
        <v>183</v>
      </c>
      <c r="AK238" s="288"/>
      <c r="AL238" s="289"/>
      <c r="AM238" s="251" t="str">
        <f t="shared" si="24"/>
        <v>Moving</v>
      </c>
      <c r="AN238" s="251" t="str">
        <f t="shared" si="25"/>
        <v>Please answer question 2a and complete section 3.</v>
      </c>
      <c r="AO238" s="290"/>
      <c r="AP238" s="287" t="str">
        <f t="shared" si="26"/>
        <v>Libya</v>
      </c>
      <c r="AQ238" s="251" t="str">
        <f ca="1" t="shared" si="21"/>
        <v>To qualify for tax exemption, you must not have a fixed base in Singapore and your physical presence in any 12-month period must not exceed  days.</v>
      </c>
      <c r="AR238" s="251"/>
      <c r="AS238" s="251"/>
      <c r="AT238" s="251"/>
      <c r="AU238" s="251"/>
      <c r="AV238" s="251"/>
      <c r="AW238" s="251"/>
      <c r="AX238" s="251"/>
      <c r="AY238" s="251"/>
      <c r="AZ238" s="251"/>
      <c r="BA238" s="251"/>
      <c r="BB238" s="251"/>
      <c r="BC238" s="251"/>
      <c r="BD238" s="251"/>
      <c r="BE238" s="251"/>
      <c r="BF238" s="251"/>
      <c r="BG238" s="251"/>
      <c r="BH238" s="251"/>
    </row>
    <row r="239" spans="2:60" ht="16.5">
      <c r="B239" s="1"/>
      <c r="C239" s="92"/>
      <c r="E239" s="92"/>
      <c r="F239" s="92"/>
      <c r="G239" s="92"/>
      <c r="H239" s="92"/>
      <c r="I239" s="92"/>
      <c r="J239" s="92"/>
      <c r="K239" s="92"/>
      <c r="L239" s="92"/>
      <c r="M239" s="92"/>
      <c r="P239" s="251"/>
      <c r="Q239" s="251"/>
      <c r="R239" s="251"/>
      <c r="S239" s="251"/>
      <c r="T239" s="251"/>
      <c r="U239" s="251"/>
      <c r="V239" s="251"/>
      <c r="W239" s="251"/>
      <c r="X239" s="251"/>
      <c r="Y239" s="251"/>
      <c r="Z239" s="251"/>
      <c r="AA239" s="251"/>
      <c r="AB239" s="251"/>
      <c r="AC239" s="287" t="s">
        <v>221</v>
      </c>
      <c r="AD239" s="288"/>
      <c r="AE239" s="288" t="s">
        <v>90</v>
      </c>
      <c r="AF239" s="288"/>
      <c r="AG239" s="288"/>
      <c r="AH239" s="288"/>
      <c r="AI239" s="288">
        <v>365</v>
      </c>
      <c r="AJ239" s="288">
        <f>SUM(AF239:AI239)</f>
        <v>365</v>
      </c>
      <c r="AK239" s="288"/>
      <c r="AL239" s="289"/>
      <c r="AM239" s="251" t="str">
        <f>IF(OR(ISBLANK(AF239)=FALSE,ISBLANK(AK239)=FALSE)=TRUE,"Calendar",IF(OR(ISBLANK(AG239)=FALSE,ISBLANK(AH239)=FALSE,ISBLANK(AI239)=FALSE)=TRUE,"Moving",""))</f>
        <v>Moving</v>
      </c>
      <c r="AN239" s="251" t="str">
        <f>IF(ISBLANK(AK239)=FALSE,$AC$152,IF(ISBLANK(AH239)=FALSE,$AC$153,IF(OR(ISBLANK(AG239)=FALSE,ISBLANK(AF239)=FALSE,ISBLANK(AI239)=FALSE)=TRUE,$AC$151,IF(ISBLANK(AE239)=FALSE,$AC$150,IF(ISBLANK(AD239)=FALSE,$AC$149,$AC$154)))))</f>
        <v>Please answer question 2a and complete section 3.</v>
      </c>
      <c r="AO239" s="290"/>
      <c r="AP239" s="287" t="str">
        <f t="shared" si="26"/>
        <v>Liechtenstein</v>
      </c>
      <c r="AQ239" s="251" t="str">
        <f ca="1" t="shared" si="21"/>
        <v>To qualify for tax exemption, you must not have a fixed base in Singapore and your physical presence in any 12-month period must not exceed  days.</v>
      </c>
      <c r="AR239" s="251"/>
      <c r="AS239" s="251"/>
      <c r="AT239" s="251"/>
      <c r="AU239" s="251"/>
      <c r="AV239" s="251"/>
      <c r="AW239" s="251"/>
      <c r="AX239" s="251"/>
      <c r="AY239" s="251"/>
      <c r="AZ239" s="251"/>
      <c r="BA239" s="251"/>
      <c r="BB239" s="251"/>
      <c r="BC239" s="251"/>
      <c r="BD239" s="251"/>
      <c r="BE239" s="251"/>
      <c r="BF239" s="251"/>
      <c r="BG239" s="251"/>
      <c r="BH239" s="251"/>
    </row>
    <row r="240" spans="2:60" ht="16.5">
      <c r="B240" s="1"/>
      <c r="C240" s="92"/>
      <c r="E240" s="92"/>
      <c r="F240" s="92"/>
      <c r="G240" s="92"/>
      <c r="H240" s="92"/>
      <c r="I240" s="92"/>
      <c r="J240" s="92"/>
      <c r="K240" s="92"/>
      <c r="L240" s="92"/>
      <c r="M240" s="92"/>
      <c r="P240" s="251"/>
      <c r="Q240" s="251"/>
      <c r="R240" s="251"/>
      <c r="S240" s="251"/>
      <c r="T240" s="251"/>
      <c r="U240" s="251"/>
      <c r="V240" s="251"/>
      <c r="W240" s="251"/>
      <c r="X240" s="251"/>
      <c r="Y240" s="251"/>
      <c r="Z240" s="251"/>
      <c r="AA240" s="251"/>
      <c r="AB240" s="251"/>
      <c r="AC240" s="287" t="s">
        <v>117</v>
      </c>
      <c r="AD240" s="288"/>
      <c r="AE240" s="288" t="s">
        <v>90</v>
      </c>
      <c r="AF240" s="288"/>
      <c r="AG240" s="288">
        <v>183</v>
      </c>
      <c r="AH240" s="288"/>
      <c r="AI240" s="288"/>
      <c r="AJ240" s="288">
        <f t="shared" si="17"/>
        <v>183</v>
      </c>
      <c r="AK240" s="288"/>
      <c r="AL240" s="289"/>
      <c r="AM240" s="251" t="str">
        <f t="shared" si="24"/>
        <v>Moving</v>
      </c>
      <c r="AN240" s="251" t="str">
        <f t="shared" si="25"/>
        <v>Please answer question 2a and complete section 3.</v>
      </c>
      <c r="AO240" s="290"/>
      <c r="AP240" s="287" t="str">
        <f t="shared" si="26"/>
        <v>Lithuania</v>
      </c>
      <c r="AQ240" s="251" t="str">
        <f ca="1" t="shared" si="21"/>
        <v>To qualify for tax exemption, you must not have a fixed base in Singapore and your physical presence in any 12-month period must not exceed  days.</v>
      </c>
      <c r="AR240" s="251"/>
      <c r="AS240" s="251"/>
      <c r="AT240" s="251"/>
      <c r="AU240" s="251"/>
      <c r="AV240" s="251"/>
      <c r="AW240" s="251"/>
      <c r="AX240" s="251"/>
      <c r="AY240" s="251"/>
      <c r="AZ240" s="251"/>
      <c r="BA240" s="251"/>
      <c r="BB240" s="251"/>
      <c r="BC240" s="251"/>
      <c r="BD240" s="251"/>
      <c r="BE240" s="251"/>
      <c r="BF240" s="251"/>
      <c r="BG240" s="251"/>
      <c r="BH240" s="251"/>
    </row>
    <row r="241" spans="2:60" ht="16.5">
      <c r="B241" s="1"/>
      <c r="C241" s="92"/>
      <c r="E241" s="92"/>
      <c r="F241" s="92"/>
      <c r="G241" s="92"/>
      <c r="H241" s="92"/>
      <c r="I241" s="92"/>
      <c r="J241" s="92"/>
      <c r="K241" s="92"/>
      <c r="L241" s="92"/>
      <c r="M241" s="92"/>
      <c r="P241" s="251"/>
      <c r="Q241" s="251"/>
      <c r="R241" s="251"/>
      <c r="S241" s="251"/>
      <c r="T241" s="251"/>
      <c r="U241" s="251"/>
      <c r="V241" s="251"/>
      <c r="W241" s="251"/>
      <c r="X241" s="251"/>
      <c r="Y241" s="251"/>
      <c r="Z241" s="251"/>
      <c r="AA241" s="251"/>
      <c r="AB241" s="251"/>
      <c r="AC241" s="287" t="s">
        <v>118</v>
      </c>
      <c r="AD241" s="291"/>
      <c r="AE241" s="288" t="s">
        <v>90</v>
      </c>
      <c r="AF241" s="288"/>
      <c r="AG241" s="288"/>
      <c r="AH241" s="288"/>
      <c r="AI241" s="288">
        <v>365</v>
      </c>
      <c r="AJ241" s="288">
        <f t="shared" si="17"/>
        <v>365</v>
      </c>
      <c r="AK241" s="288"/>
      <c r="AL241" s="289"/>
      <c r="AM241" s="251" t="str">
        <f t="shared" si="24"/>
        <v>Moving</v>
      </c>
      <c r="AN241" s="251" t="str">
        <f t="shared" si="25"/>
        <v>Please answer question 2a and complete section 3.</v>
      </c>
      <c r="AO241" s="290"/>
      <c r="AP241" s="287" t="str">
        <f t="shared" si="26"/>
        <v>Luxembourg</v>
      </c>
      <c r="AQ241" s="251" t="str">
        <f ca="1" t="shared" si="21"/>
        <v>To qualify for tax exemption, you must not have a fixed base in Singapore and your physical presence in any 12-month period must not exceed  days.</v>
      </c>
      <c r="AR241" s="251"/>
      <c r="AS241" s="251"/>
      <c r="AT241" s="251"/>
      <c r="AU241" s="251"/>
      <c r="AV241" s="251"/>
      <c r="AW241" s="251"/>
      <c r="AX241" s="251"/>
      <c r="AY241" s="251"/>
      <c r="AZ241" s="251"/>
      <c r="BA241" s="251"/>
      <c r="BB241" s="251"/>
      <c r="BC241" s="251"/>
      <c r="BD241" s="251"/>
      <c r="BE241" s="251"/>
      <c r="BF241" s="251"/>
      <c r="BG241" s="251"/>
      <c r="BH241" s="251"/>
    </row>
    <row r="242" spans="2:60" ht="16.5">
      <c r="B242" s="1"/>
      <c r="C242" s="92"/>
      <c r="E242" s="92"/>
      <c r="F242" s="92"/>
      <c r="G242" s="92"/>
      <c r="H242" s="92"/>
      <c r="I242" s="92"/>
      <c r="J242" s="92"/>
      <c r="K242" s="92"/>
      <c r="L242" s="92"/>
      <c r="M242" s="92"/>
      <c r="P242" s="251"/>
      <c r="Q242" s="251"/>
      <c r="R242" s="251"/>
      <c r="S242" s="251"/>
      <c r="T242" s="251"/>
      <c r="U242" s="251"/>
      <c r="V242" s="251"/>
      <c r="W242" s="251"/>
      <c r="X242" s="251"/>
      <c r="Y242" s="251"/>
      <c r="Z242" s="251"/>
      <c r="AA242" s="251"/>
      <c r="AB242" s="251"/>
      <c r="AC242" s="287" t="s">
        <v>119</v>
      </c>
      <c r="AD242" s="291"/>
      <c r="AE242" s="291" t="s">
        <v>272</v>
      </c>
      <c r="AF242" s="288"/>
      <c r="AG242" s="288"/>
      <c r="AH242" s="288"/>
      <c r="AI242" s="288"/>
      <c r="AJ242" s="288">
        <f t="shared" si="17"/>
        <v>0</v>
      </c>
      <c r="AK242" s="288"/>
      <c r="AL242" s="289" t="s">
        <v>275</v>
      </c>
      <c r="AM242" s="251">
        <f t="shared" si="24"/>
      </c>
      <c r="AN242" s="251" t="str">
        <f t="shared" si="25"/>
        <v>Please answer question 2a.</v>
      </c>
      <c r="AO242" s="290"/>
      <c r="AP242" s="287" t="str">
        <f t="shared" si="26"/>
        <v>Malaysia</v>
      </c>
      <c r="AQ242" s="251" t="str">
        <f ca="1">IF(YEAR($AO242)&lt;&gt;YEAR(TODAY()),VLOOKUP($AC$156,$AC$149:$AD$157,2,FALSE),CONCATENATE("With effect from ",DAY($AO242)," Jan ",YEAR($AO242),", t",RIGHT(VLOOKUP($AC$156,$AC$149:$AD$157,2,FALSE),LEN(VLOOKUP($AC$156,$AC$149:$AD$157,2,FALSE))-1)))</f>
        <v>To qualify for reduced withholding tax rate, you must not have a fixed base in Singapore.</v>
      </c>
      <c r="AR242" s="251"/>
      <c r="AS242" s="251"/>
      <c r="AT242" s="251"/>
      <c r="AU242" s="251"/>
      <c r="AV242" s="251"/>
      <c r="AW242" s="251"/>
      <c r="AX242" s="251"/>
      <c r="AY242" s="251"/>
      <c r="AZ242" s="251"/>
      <c r="BA242" s="251"/>
      <c r="BB242" s="251"/>
      <c r="BC242" s="251"/>
      <c r="BD242" s="251"/>
      <c r="BE242" s="251"/>
      <c r="BF242" s="251"/>
      <c r="BG242" s="251"/>
      <c r="BH242" s="251"/>
    </row>
    <row r="243" spans="2:60" ht="16.5">
      <c r="B243" s="1"/>
      <c r="C243" s="92"/>
      <c r="E243" s="92"/>
      <c r="F243" s="92"/>
      <c r="G243" s="92"/>
      <c r="H243" s="92"/>
      <c r="I243" s="92"/>
      <c r="J243" s="92"/>
      <c r="K243" s="92"/>
      <c r="L243" s="92"/>
      <c r="M243" s="92"/>
      <c r="P243" s="251"/>
      <c r="Q243" s="251"/>
      <c r="R243" s="251"/>
      <c r="S243" s="251"/>
      <c r="T243" s="251"/>
      <c r="U243" s="251"/>
      <c r="V243" s="251"/>
      <c r="W243" s="251"/>
      <c r="X243" s="251"/>
      <c r="Y243" s="251"/>
      <c r="Z243" s="251"/>
      <c r="AA243" s="251"/>
      <c r="AB243" s="251"/>
      <c r="AC243" s="287" t="s">
        <v>120</v>
      </c>
      <c r="AD243" s="288"/>
      <c r="AE243" s="288" t="s">
        <v>90</v>
      </c>
      <c r="AF243" s="288"/>
      <c r="AG243" s="288">
        <v>183</v>
      </c>
      <c r="AH243" s="288"/>
      <c r="AI243" s="288"/>
      <c r="AJ243" s="288">
        <f t="shared" si="17"/>
        <v>183</v>
      </c>
      <c r="AK243" s="288"/>
      <c r="AL243" s="289"/>
      <c r="AM243" s="251" t="str">
        <f t="shared" si="24"/>
        <v>Moving</v>
      </c>
      <c r="AN243" s="251" t="str">
        <f aca="true" t="shared" si="27" ref="AN243:AN284">IF(ISBLANK(AK243)=FALSE,$AC$152,IF(ISBLANK(AH243)=FALSE,$AC$153,IF(OR(ISBLANK(AG243)=FALSE,ISBLANK(AF243)=FALSE,ISBLANK(AI243)=FALSE)=TRUE,$AC$151,IF(ISBLANK(AE243)=FALSE,$AC$150,IF(ISBLANK(AD243)=FALSE,$AC$149,$AC$154)))))</f>
        <v>Please answer question 2a and complete section 3.</v>
      </c>
      <c r="AO243" s="290"/>
      <c r="AP243" s="287" t="str">
        <f t="shared" si="26"/>
        <v>Malta</v>
      </c>
      <c r="AQ243" s="251" t="str">
        <f ca="1" t="shared" si="21"/>
        <v>To qualify for tax exemption, you must not have a fixed base in Singapore and your physical presence in any 12-month period must not exceed  days.</v>
      </c>
      <c r="AR243" s="251"/>
      <c r="AS243" s="251"/>
      <c r="AT243" s="251"/>
      <c r="AU243" s="251"/>
      <c r="AV243" s="251"/>
      <c r="AW243" s="251"/>
      <c r="AX243" s="251"/>
      <c r="AY243" s="251"/>
      <c r="AZ243" s="251"/>
      <c r="BA243" s="251"/>
      <c r="BB243" s="251"/>
      <c r="BC243" s="251"/>
      <c r="BD243" s="251"/>
      <c r="BE243" s="251"/>
      <c r="BF243" s="251"/>
      <c r="BG243" s="251"/>
      <c r="BH243" s="251"/>
    </row>
    <row r="244" spans="2:60" ht="16.5">
      <c r="B244" s="1"/>
      <c r="C244" s="92"/>
      <c r="E244" s="92"/>
      <c r="F244" s="92"/>
      <c r="G244" s="92"/>
      <c r="H244" s="92"/>
      <c r="I244" s="92"/>
      <c r="J244" s="92"/>
      <c r="K244" s="92"/>
      <c r="L244" s="92"/>
      <c r="M244" s="92"/>
      <c r="P244" s="251"/>
      <c r="Q244" s="251"/>
      <c r="R244" s="251"/>
      <c r="S244" s="251"/>
      <c r="T244" s="251"/>
      <c r="U244" s="251"/>
      <c r="V244" s="251"/>
      <c r="W244" s="251"/>
      <c r="X244" s="251"/>
      <c r="Y244" s="251"/>
      <c r="Z244" s="251"/>
      <c r="AA244" s="251"/>
      <c r="AB244" s="251"/>
      <c r="AC244" s="287" t="s">
        <v>121</v>
      </c>
      <c r="AD244" s="288"/>
      <c r="AE244" s="288" t="s">
        <v>90</v>
      </c>
      <c r="AF244" s="288"/>
      <c r="AG244" s="288"/>
      <c r="AH244" s="288"/>
      <c r="AI244" s="288"/>
      <c r="AJ244" s="288">
        <f t="shared" si="17"/>
        <v>0</v>
      </c>
      <c r="AK244" s="288"/>
      <c r="AL244" s="289"/>
      <c r="AM244" s="251">
        <f t="shared" si="24"/>
      </c>
      <c r="AN244" s="251" t="str">
        <f t="shared" si="27"/>
        <v>Please answer question 2a.</v>
      </c>
      <c r="AO244" s="290"/>
      <c r="AP244" s="287" t="str">
        <f t="shared" si="26"/>
        <v>Mauritius</v>
      </c>
      <c r="AQ244" s="251" t="str">
        <f ca="1" t="shared" si="21"/>
        <v>To qualify for tax exemption, you must not have a fixed base in Singapore.</v>
      </c>
      <c r="AR244" s="251"/>
      <c r="AS244" s="251"/>
      <c r="AT244" s="251"/>
      <c r="AU244" s="251"/>
      <c r="AV244" s="251"/>
      <c r="AW244" s="251"/>
      <c r="AX244" s="251"/>
      <c r="AY244" s="251"/>
      <c r="AZ244" s="251"/>
      <c r="BA244" s="251"/>
      <c r="BB244" s="251"/>
      <c r="BC244" s="251"/>
      <c r="BD244" s="251"/>
      <c r="BE244" s="251"/>
      <c r="BF244" s="251"/>
      <c r="BG244" s="251"/>
      <c r="BH244" s="251"/>
    </row>
    <row r="245" spans="2:60" ht="16.5">
      <c r="B245" s="1"/>
      <c r="C245" s="92"/>
      <c r="E245" s="92"/>
      <c r="F245" s="92"/>
      <c r="G245" s="92"/>
      <c r="H245" s="92"/>
      <c r="I245" s="92"/>
      <c r="J245" s="92"/>
      <c r="K245" s="92"/>
      <c r="L245" s="92"/>
      <c r="M245" s="92"/>
      <c r="P245" s="251"/>
      <c r="Q245" s="251"/>
      <c r="R245" s="251"/>
      <c r="S245" s="251"/>
      <c r="T245" s="251"/>
      <c r="U245" s="251"/>
      <c r="V245" s="251"/>
      <c r="W245" s="251"/>
      <c r="X245" s="251"/>
      <c r="Y245" s="251"/>
      <c r="Z245" s="251"/>
      <c r="AA245" s="251"/>
      <c r="AB245" s="251"/>
      <c r="AC245" s="287" t="s">
        <v>122</v>
      </c>
      <c r="AD245" s="288"/>
      <c r="AE245" s="288" t="s">
        <v>90</v>
      </c>
      <c r="AF245" s="288"/>
      <c r="AG245" s="288">
        <v>183</v>
      </c>
      <c r="AH245" s="288"/>
      <c r="AI245" s="288"/>
      <c r="AJ245" s="288">
        <f t="shared" si="17"/>
        <v>183</v>
      </c>
      <c r="AK245" s="288"/>
      <c r="AL245" s="289"/>
      <c r="AM245" s="251" t="str">
        <f t="shared" si="24"/>
        <v>Moving</v>
      </c>
      <c r="AN245" s="251" t="str">
        <f t="shared" si="27"/>
        <v>Please answer question 2a and complete section 3.</v>
      </c>
      <c r="AO245" s="290"/>
      <c r="AP245" s="287" t="str">
        <f t="shared" si="26"/>
        <v>Mexico</v>
      </c>
      <c r="AQ245" s="251" t="str">
        <f ca="1" t="shared" si="21"/>
        <v>To qualify for tax exemption, you must not have a fixed base in Singapore and your physical presence in any 12-month period must not exceed  days.</v>
      </c>
      <c r="AR245" s="251"/>
      <c r="AS245" s="251"/>
      <c r="AT245" s="251"/>
      <c r="AU245" s="251"/>
      <c r="AV245" s="251"/>
      <c r="AW245" s="251"/>
      <c r="AX245" s="251"/>
      <c r="AY245" s="251"/>
      <c r="AZ245" s="251"/>
      <c r="BA245" s="251"/>
      <c r="BB245" s="251"/>
      <c r="BC245" s="251"/>
      <c r="BD245" s="251"/>
      <c r="BE245" s="251"/>
      <c r="BF245" s="251"/>
      <c r="BG245" s="251"/>
      <c r="BH245" s="251"/>
    </row>
    <row r="246" spans="2:60" ht="16.5">
      <c r="B246" s="1"/>
      <c r="C246" s="92"/>
      <c r="E246" s="92"/>
      <c r="F246" s="92"/>
      <c r="G246" s="92"/>
      <c r="H246" s="92"/>
      <c r="I246" s="92"/>
      <c r="J246" s="92"/>
      <c r="K246" s="92"/>
      <c r="L246" s="92"/>
      <c r="M246" s="92"/>
      <c r="P246" s="251"/>
      <c r="Q246" s="251"/>
      <c r="R246" s="251"/>
      <c r="S246" s="251"/>
      <c r="T246" s="251"/>
      <c r="U246" s="251"/>
      <c r="V246" s="251"/>
      <c r="W246" s="251"/>
      <c r="X246" s="251"/>
      <c r="Y246" s="251"/>
      <c r="Z246" s="251"/>
      <c r="AA246" s="251"/>
      <c r="AB246" s="251"/>
      <c r="AC246" s="287" t="s">
        <v>123</v>
      </c>
      <c r="AD246" s="288"/>
      <c r="AE246" s="288" t="s">
        <v>90</v>
      </c>
      <c r="AF246" s="288"/>
      <c r="AG246" s="288">
        <v>183</v>
      </c>
      <c r="AH246" s="288"/>
      <c r="AI246" s="288"/>
      <c r="AJ246" s="288">
        <f t="shared" si="17"/>
        <v>183</v>
      </c>
      <c r="AK246" s="288"/>
      <c r="AL246" s="289"/>
      <c r="AM246" s="251" t="str">
        <f t="shared" si="24"/>
        <v>Moving</v>
      </c>
      <c r="AN246" s="251" t="str">
        <f t="shared" si="27"/>
        <v>Please answer question 2a and complete section 3.</v>
      </c>
      <c r="AO246" s="290"/>
      <c r="AP246" s="287" t="str">
        <f t="shared" si="26"/>
        <v>Mongolia</v>
      </c>
      <c r="AQ246" s="251" t="str">
        <f ca="1" t="shared" si="21"/>
        <v>To qualify for tax exemption, you must not have a fixed base in Singapore and your physical presence in any 12-month period must not exceed  days.</v>
      </c>
      <c r="AR246" s="251"/>
      <c r="AS246" s="251"/>
      <c r="AT246" s="251"/>
      <c r="AU246" s="251"/>
      <c r="AV246" s="251"/>
      <c r="AW246" s="251"/>
      <c r="AX246" s="251"/>
      <c r="AY246" s="251"/>
      <c r="AZ246" s="251"/>
      <c r="BA246" s="251"/>
      <c r="BB246" s="251"/>
      <c r="BC246" s="251"/>
      <c r="BD246" s="251"/>
      <c r="BE246" s="251"/>
      <c r="BF246" s="251"/>
      <c r="BG246" s="251"/>
      <c r="BH246" s="251"/>
    </row>
    <row r="247" spans="2:60" ht="16.5">
      <c r="B247" s="1"/>
      <c r="C247" s="92"/>
      <c r="E247" s="92"/>
      <c r="F247" s="92"/>
      <c r="G247" s="92"/>
      <c r="H247" s="92"/>
      <c r="I247" s="92"/>
      <c r="J247" s="92"/>
      <c r="K247" s="92"/>
      <c r="L247" s="92"/>
      <c r="M247" s="92"/>
      <c r="P247" s="251"/>
      <c r="Q247" s="251"/>
      <c r="R247" s="251"/>
      <c r="S247" s="251"/>
      <c r="T247" s="251"/>
      <c r="U247" s="251"/>
      <c r="V247" s="251"/>
      <c r="W247" s="251"/>
      <c r="X247" s="251"/>
      <c r="Y247" s="251"/>
      <c r="Z247" s="251"/>
      <c r="AA247" s="251"/>
      <c r="AB247" s="251"/>
      <c r="AC247" s="287" t="s">
        <v>222</v>
      </c>
      <c r="AD247" s="288"/>
      <c r="AE247" s="288" t="s">
        <v>90</v>
      </c>
      <c r="AF247" s="288"/>
      <c r="AG247" s="288">
        <v>135</v>
      </c>
      <c r="AH247" s="288"/>
      <c r="AI247" s="288"/>
      <c r="AJ247" s="288">
        <f>SUM(AF247:AI247)</f>
        <v>135</v>
      </c>
      <c r="AK247" s="288"/>
      <c r="AL247" s="289"/>
      <c r="AM247" s="251" t="str">
        <f>IF(OR(ISBLANK(AF247)=FALSE,ISBLANK(AK247)=FALSE)=TRUE,"Calendar",IF(OR(ISBLANK(AG247)=FALSE,ISBLANK(AH247)=FALSE,ISBLANK(AI247)=FALSE)=TRUE,"Moving",""))</f>
        <v>Moving</v>
      </c>
      <c r="AN247" s="251" t="str">
        <f>IF(ISBLANK(AK247)=FALSE,$AC$152,IF(ISBLANK(AH247)=FALSE,$AC$153,IF(OR(ISBLANK(AG247)=FALSE,ISBLANK(AF247)=FALSE,ISBLANK(AI247)=FALSE)=TRUE,$AC$151,IF(ISBLANK(AE247)=FALSE,$AC$150,IF(ISBLANK(AD247)=FALSE,$AC$149,$AC$154)))))</f>
        <v>Please answer question 2a and complete section 3.</v>
      </c>
      <c r="AO247" s="290"/>
      <c r="AP247" s="287" t="str">
        <f>AC247</f>
        <v>Morocco</v>
      </c>
      <c r="AQ247" s="251" t="str">
        <f ca="1" t="shared" si="21"/>
        <v>To qualify for tax exemption, you must not have a fixed base in Singapore and your physical presence in any 12-month period must not exceed  days.</v>
      </c>
      <c r="AR247" s="251"/>
      <c r="AS247" s="251"/>
      <c r="AT247" s="251"/>
      <c r="AU247" s="251"/>
      <c r="AV247" s="251"/>
      <c r="AW247" s="251"/>
      <c r="AX247" s="251"/>
      <c r="AY247" s="251"/>
      <c r="AZ247" s="251"/>
      <c r="BA247" s="251"/>
      <c r="BB247" s="251"/>
      <c r="BC247" s="251"/>
      <c r="BD247" s="251"/>
      <c r="BE247" s="251"/>
      <c r="BF247" s="251"/>
      <c r="BG247" s="251"/>
      <c r="BH247" s="251"/>
    </row>
    <row r="248" spans="2:60" ht="16.5">
      <c r="B248" s="1"/>
      <c r="C248" s="92"/>
      <c r="E248" s="92"/>
      <c r="F248" s="92"/>
      <c r="G248" s="92"/>
      <c r="H248" s="92"/>
      <c r="I248" s="92"/>
      <c r="J248" s="92"/>
      <c r="K248" s="92"/>
      <c r="L248" s="92"/>
      <c r="M248" s="92"/>
      <c r="P248" s="251"/>
      <c r="Q248" s="251"/>
      <c r="R248" s="251"/>
      <c r="S248" s="251"/>
      <c r="T248" s="251"/>
      <c r="U248" s="251"/>
      <c r="V248" s="251"/>
      <c r="W248" s="251"/>
      <c r="X248" s="251"/>
      <c r="Y248" s="251"/>
      <c r="Z248" s="251"/>
      <c r="AA248" s="251"/>
      <c r="AB248" s="251"/>
      <c r="AC248" s="287" t="s">
        <v>186</v>
      </c>
      <c r="AD248" s="288"/>
      <c r="AE248" s="288" t="s">
        <v>90</v>
      </c>
      <c r="AF248" s="288">
        <v>182</v>
      </c>
      <c r="AG248" s="288"/>
      <c r="AH248" s="288"/>
      <c r="AI248" s="288"/>
      <c r="AJ248" s="288">
        <f t="shared" si="17"/>
        <v>182</v>
      </c>
      <c r="AK248" s="288" t="s">
        <v>187</v>
      </c>
      <c r="AL248" s="289"/>
      <c r="AM248" s="251" t="str">
        <f t="shared" si="24"/>
        <v>Calendar</v>
      </c>
      <c r="AN248" s="251" t="str">
        <f t="shared" si="27"/>
        <v>Please answer questions 2a, 2b and complete section 3.</v>
      </c>
      <c r="AO248" s="290"/>
      <c r="AP248" s="287" t="str">
        <f t="shared" si="26"/>
        <v>Myanmar</v>
      </c>
      <c r="AQ248" s="251" t="str">
        <f ca="1" t="shared" si="21"/>
        <v>To qualify for tax exemption, you must not have a fixed base in Singapore, your income must be below  and your physical presence in any 12-month period must not exceed  days.</v>
      </c>
      <c r="AR248" s="251"/>
      <c r="AS248" s="251"/>
      <c r="AT248" s="251"/>
      <c r="AU248" s="251"/>
      <c r="AV248" s="251"/>
      <c r="AW248" s="251"/>
      <c r="AX248" s="251"/>
      <c r="AY248" s="251"/>
      <c r="AZ248" s="251"/>
      <c r="BA248" s="251"/>
      <c r="BB248" s="251"/>
      <c r="BC248" s="251"/>
      <c r="BD248" s="251"/>
      <c r="BE248" s="251"/>
      <c r="BF248" s="251"/>
      <c r="BG248" s="251"/>
      <c r="BH248" s="251"/>
    </row>
    <row r="249" spans="2:60" ht="16.5">
      <c r="B249" s="1"/>
      <c r="C249" s="92"/>
      <c r="E249" s="92"/>
      <c r="F249" s="92"/>
      <c r="G249" s="92"/>
      <c r="H249" s="92"/>
      <c r="I249" s="92"/>
      <c r="J249" s="92"/>
      <c r="K249" s="92"/>
      <c r="L249" s="92"/>
      <c r="M249" s="92"/>
      <c r="P249" s="251"/>
      <c r="Q249" s="251"/>
      <c r="R249" s="251"/>
      <c r="S249" s="251"/>
      <c r="T249" s="251"/>
      <c r="U249" s="251"/>
      <c r="V249" s="251"/>
      <c r="W249" s="251"/>
      <c r="X249" s="251"/>
      <c r="Y249" s="251"/>
      <c r="Z249" s="251"/>
      <c r="AA249" s="251"/>
      <c r="AB249" s="251"/>
      <c r="AC249" s="287" t="s">
        <v>124</v>
      </c>
      <c r="AD249" s="291" t="s">
        <v>88</v>
      </c>
      <c r="AE249" s="288"/>
      <c r="AF249" s="288"/>
      <c r="AG249" s="288"/>
      <c r="AH249" s="288"/>
      <c r="AI249" s="288"/>
      <c r="AJ249" s="288">
        <f t="shared" si="17"/>
        <v>0</v>
      </c>
      <c r="AK249" s="288"/>
      <c r="AL249" s="289"/>
      <c r="AM249" s="251">
        <f t="shared" si="24"/>
      </c>
      <c r="AN249" s="251" t="str">
        <f t="shared" si="27"/>
        <v>None - Assume Cost Borne</v>
      </c>
      <c r="AO249" s="290"/>
      <c r="AP249" s="287" t="str">
        <f t="shared" si="26"/>
        <v>Netherlands</v>
      </c>
      <c r="AQ249" s="251" t="str">
        <f ca="1" t="shared" si="21"/>
        <v>You do not qualify for tax exemption as your income is borne/paid by a Singapore entity.</v>
      </c>
      <c r="AR249" s="251"/>
      <c r="AS249" s="251"/>
      <c r="AT249" s="251"/>
      <c r="AU249" s="251"/>
      <c r="AV249" s="251"/>
      <c r="AW249" s="251"/>
      <c r="AX249" s="251"/>
      <c r="AY249" s="251"/>
      <c r="AZ249" s="251"/>
      <c r="BA249" s="251"/>
      <c r="BB249" s="251"/>
      <c r="BC249" s="251"/>
      <c r="BD249" s="251"/>
      <c r="BE249" s="251"/>
      <c r="BF249" s="251"/>
      <c r="BG249" s="251"/>
      <c r="BH249" s="251"/>
    </row>
    <row r="250" spans="2:60" ht="16.5">
      <c r="B250" s="1"/>
      <c r="C250" s="92"/>
      <c r="E250" s="92"/>
      <c r="F250" s="92"/>
      <c r="G250" s="92"/>
      <c r="H250" s="92"/>
      <c r="I250" s="92"/>
      <c r="J250" s="92"/>
      <c r="K250" s="92"/>
      <c r="L250" s="92"/>
      <c r="M250" s="92"/>
      <c r="P250" s="251"/>
      <c r="Q250" s="251"/>
      <c r="R250" s="251"/>
      <c r="S250" s="251"/>
      <c r="T250" s="251"/>
      <c r="U250" s="251"/>
      <c r="V250" s="251"/>
      <c r="W250" s="251"/>
      <c r="X250" s="251"/>
      <c r="Y250" s="251"/>
      <c r="Z250" s="251"/>
      <c r="AA250" s="251"/>
      <c r="AB250" s="255"/>
      <c r="AC250" s="287" t="s">
        <v>125</v>
      </c>
      <c r="AD250" s="288"/>
      <c r="AE250" s="288" t="s">
        <v>90</v>
      </c>
      <c r="AF250" s="288"/>
      <c r="AG250" s="288">
        <v>183</v>
      </c>
      <c r="AH250" s="288"/>
      <c r="AI250" s="288"/>
      <c r="AJ250" s="288">
        <f t="shared" si="17"/>
        <v>183</v>
      </c>
      <c r="AK250" s="288"/>
      <c r="AL250" s="289"/>
      <c r="AM250" s="251" t="str">
        <f t="shared" si="24"/>
        <v>Moving</v>
      </c>
      <c r="AN250" s="251" t="str">
        <f t="shared" si="27"/>
        <v>Please answer question 2a and complete section 3.</v>
      </c>
      <c r="AO250" s="290"/>
      <c r="AP250" s="287" t="str">
        <f t="shared" si="26"/>
        <v>New Zealand</v>
      </c>
      <c r="AQ250" s="251" t="str">
        <f ca="1" t="shared" si="21"/>
        <v>To qualify for tax exemption, you must not have a fixed base in Singapore and your physical presence in any 12-month period must not exceed  days.</v>
      </c>
      <c r="AR250" s="251"/>
      <c r="AS250" s="251"/>
      <c r="AT250" s="251"/>
      <c r="AU250" s="251"/>
      <c r="AV250" s="251"/>
      <c r="AW250" s="251"/>
      <c r="AX250" s="251"/>
      <c r="AY250" s="251"/>
      <c r="AZ250" s="251"/>
      <c r="BA250" s="251"/>
      <c r="BB250" s="251"/>
      <c r="BC250" s="251"/>
      <c r="BD250" s="251"/>
      <c r="BE250" s="251"/>
      <c r="BF250" s="251"/>
      <c r="BG250" s="251"/>
      <c r="BH250" s="251"/>
    </row>
    <row r="251" spans="2:60" ht="16.5">
      <c r="B251" s="1"/>
      <c r="C251" s="92"/>
      <c r="E251" s="92"/>
      <c r="F251" s="92"/>
      <c r="G251" s="92"/>
      <c r="H251" s="92"/>
      <c r="I251" s="92"/>
      <c r="J251" s="92"/>
      <c r="K251" s="92"/>
      <c r="L251" s="92"/>
      <c r="M251" s="92"/>
      <c r="P251" s="251"/>
      <c r="Q251" s="251"/>
      <c r="R251" s="251"/>
      <c r="S251" s="251"/>
      <c r="T251" s="251"/>
      <c r="U251" s="251"/>
      <c r="V251" s="251"/>
      <c r="W251" s="251"/>
      <c r="X251" s="251"/>
      <c r="Y251" s="251"/>
      <c r="Z251" s="251"/>
      <c r="AA251" s="251"/>
      <c r="AB251" s="255"/>
      <c r="AC251" s="287" t="s">
        <v>294</v>
      </c>
      <c r="AD251" s="288"/>
      <c r="AE251" s="288" t="s">
        <v>90</v>
      </c>
      <c r="AF251" s="288"/>
      <c r="AG251" s="288">
        <v>183</v>
      </c>
      <c r="AH251" s="288"/>
      <c r="AI251" s="288"/>
      <c r="AJ251" s="288">
        <f t="shared" si="17"/>
        <v>183</v>
      </c>
      <c r="AK251" s="288"/>
      <c r="AL251" s="289"/>
      <c r="AM251" s="251" t="str">
        <f t="shared" si="24"/>
        <v>Moving</v>
      </c>
      <c r="AN251" s="251" t="str">
        <f t="shared" si="27"/>
        <v>Please answer question 2a and complete section 3.</v>
      </c>
      <c r="AO251" s="290">
        <v>43466</v>
      </c>
      <c r="AP251" s="287" t="str">
        <f t="shared" si="26"/>
        <v>Nigeria</v>
      </c>
      <c r="AQ251" s="251" t="str">
        <f ca="1" t="shared" si="21"/>
        <v>To qualify for tax exemption, you must not have a fixed base in Singapore and your physical presence in any 12-month period must not exceed  days.</v>
      </c>
      <c r="AR251" s="251"/>
      <c r="AS251" s="251"/>
      <c r="AT251" s="251"/>
      <c r="AU251" s="251"/>
      <c r="AV251" s="251"/>
      <c r="AW251" s="251"/>
      <c r="AX251" s="251"/>
      <c r="AY251" s="251"/>
      <c r="AZ251" s="251"/>
      <c r="BA251" s="251"/>
      <c r="BB251" s="251"/>
      <c r="BC251" s="251"/>
      <c r="BD251" s="251"/>
      <c r="BE251" s="251"/>
      <c r="BF251" s="251"/>
      <c r="BG251" s="251"/>
      <c r="BH251" s="251"/>
    </row>
    <row r="252" spans="2:60" ht="16.5">
      <c r="B252" s="1"/>
      <c r="C252" s="92"/>
      <c r="E252" s="92"/>
      <c r="F252" s="92"/>
      <c r="G252" s="92"/>
      <c r="H252" s="92"/>
      <c r="I252" s="92"/>
      <c r="J252" s="92"/>
      <c r="K252" s="92"/>
      <c r="L252" s="92"/>
      <c r="M252" s="92"/>
      <c r="P252" s="251"/>
      <c r="Q252" s="251"/>
      <c r="R252" s="251"/>
      <c r="S252" s="251"/>
      <c r="T252" s="251"/>
      <c r="U252" s="251"/>
      <c r="V252" s="251"/>
      <c r="W252" s="251"/>
      <c r="X252" s="251"/>
      <c r="Y252" s="251"/>
      <c r="Z252" s="251"/>
      <c r="AA252" s="251"/>
      <c r="AB252" s="251"/>
      <c r="AC252" s="287" t="s">
        <v>126</v>
      </c>
      <c r="AD252" s="288"/>
      <c r="AE252" s="288" t="s">
        <v>90</v>
      </c>
      <c r="AF252" s="288"/>
      <c r="AG252" s="288">
        <v>183</v>
      </c>
      <c r="AH252" s="288"/>
      <c r="AI252" s="288"/>
      <c r="AJ252" s="288">
        <f t="shared" si="17"/>
        <v>183</v>
      </c>
      <c r="AK252" s="288"/>
      <c r="AL252" s="289"/>
      <c r="AM252" s="251" t="str">
        <f t="shared" si="24"/>
        <v>Moving</v>
      </c>
      <c r="AN252" s="251" t="str">
        <f t="shared" si="27"/>
        <v>Please answer question 2a and complete section 3.</v>
      </c>
      <c r="AO252" s="290"/>
      <c r="AP252" s="287" t="str">
        <f t="shared" si="26"/>
        <v>Norway</v>
      </c>
      <c r="AQ252" s="251" t="str">
        <f ca="1" t="shared" si="21"/>
        <v>To qualify for tax exemption, you must not have a fixed base in Singapore and your physical presence in any 12-month period must not exceed  days.</v>
      </c>
      <c r="AR252" s="251"/>
      <c r="AS252" s="251"/>
      <c r="AT252" s="251"/>
      <c r="AU252" s="251"/>
      <c r="AV252" s="251"/>
      <c r="AW252" s="251"/>
      <c r="AX252" s="251"/>
      <c r="AY252" s="251"/>
      <c r="AZ252" s="251"/>
      <c r="BA252" s="251"/>
      <c r="BB252" s="251"/>
      <c r="BC252" s="251"/>
      <c r="BD252" s="251"/>
      <c r="BE252" s="251"/>
      <c r="BF252" s="251"/>
      <c r="BG252" s="251"/>
      <c r="BH252" s="251"/>
    </row>
    <row r="253" spans="2:60" ht="16.5">
      <c r="B253" s="1"/>
      <c r="C253" s="92"/>
      <c r="E253" s="92"/>
      <c r="F253" s="92"/>
      <c r="G253" s="92"/>
      <c r="H253" s="92"/>
      <c r="I253" s="92"/>
      <c r="J253" s="92"/>
      <c r="K253" s="92"/>
      <c r="L253" s="92"/>
      <c r="M253" s="92"/>
      <c r="P253" s="251"/>
      <c r="Q253" s="251"/>
      <c r="R253" s="251"/>
      <c r="S253" s="251"/>
      <c r="T253" s="251"/>
      <c r="U253" s="251"/>
      <c r="V253" s="251"/>
      <c r="W253" s="251"/>
      <c r="X253" s="251"/>
      <c r="Y253" s="251"/>
      <c r="Z253" s="251"/>
      <c r="AA253" s="251"/>
      <c r="AB253" s="251"/>
      <c r="AC253" s="287" t="s">
        <v>127</v>
      </c>
      <c r="AD253" s="288"/>
      <c r="AE253" s="288" t="s">
        <v>90</v>
      </c>
      <c r="AF253" s="288"/>
      <c r="AG253" s="288"/>
      <c r="AH253" s="288"/>
      <c r="AI253" s="288"/>
      <c r="AJ253" s="288">
        <f t="shared" si="17"/>
        <v>0</v>
      </c>
      <c r="AK253" s="288"/>
      <c r="AL253" s="289"/>
      <c r="AM253" s="251">
        <f t="shared" si="24"/>
      </c>
      <c r="AN253" s="251" t="str">
        <f t="shared" si="27"/>
        <v>Please answer question 2a.</v>
      </c>
      <c r="AO253" s="290"/>
      <c r="AP253" s="287" t="str">
        <f t="shared" si="26"/>
        <v>Oman</v>
      </c>
      <c r="AQ253" s="251" t="str">
        <f ca="1" t="shared" si="21"/>
        <v>To qualify for tax exemption, you must not have a fixed base in Singapore.</v>
      </c>
      <c r="AR253" s="251"/>
      <c r="AS253" s="251"/>
      <c r="AT253" s="251"/>
      <c r="AU253" s="251"/>
      <c r="AV253" s="251"/>
      <c r="AW253" s="251"/>
      <c r="AX253" s="251"/>
      <c r="AY253" s="251"/>
      <c r="AZ253" s="251"/>
      <c r="BA253" s="251"/>
      <c r="BB253" s="251"/>
      <c r="BC253" s="251"/>
      <c r="BD253" s="251"/>
      <c r="BE253" s="251"/>
      <c r="BF253" s="251"/>
      <c r="BG253" s="251"/>
      <c r="BH253" s="251"/>
    </row>
    <row r="254" spans="2:60" ht="16.5">
      <c r="B254" s="1"/>
      <c r="C254" s="92"/>
      <c r="E254" s="92"/>
      <c r="F254" s="92"/>
      <c r="G254" s="92"/>
      <c r="H254" s="92"/>
      <c r="I254" s="92"/>
      <c r="J254" s="92"/>
      <c r="K254" s="92"/>
      <c r="L254" s="92"/>
      <c r="M254" s="92"/>
      <c r="P254" s="251"/>
      <c r="Q254" s="251"/>
      <c r="R254" s="251"/>
      <c r="S254" s="251"/>
      <c r="T254" s="251"/>
      <c r="U254" s="251"/>
      <c r="V254" s="251"/>
      <c r="W254" s="251"/>
      <c r="X254" s="251"/>
      <c r="Y254" s="251"/>
      <c r="Z254" s="251"/>
      <c r="AA254" s="251"/>
      <c r="AB254" s="251"/>
      <c r="AC254" s="287" t="s">
        <v>128</v>
      </c>
      <c r="AD254" s="291" t="s">
        <v>88</v>
      </c>
      <c r="AE254" s="288"/>
      <c r="AF254" s="288"/>
      <c r="AG254" s="288"/>
      <c r="AH254" s="288"/>
      <c r="AI254" s="288"/>
      <c r="AJ254" s="288">
        <f t="shared" si="17"/>
        <v>0</v>
      </c>
      <c r="AK254" s="288"/>
      <c r="AL254" s="289"/>
      <c r="AM254" s="251">
        <f t="shared" si="24"/>
      </c>
      <c r="AN254" s="251" t="str">
        <f t="shared" si="27"/>
        <v>None - Assume Cost Borne</v>
      </c>
      <c r="AO254" s="290"/>
      <c r="AP254" s="287" t="str">
        <f t="shared" si="26"/>
        <v>Pakistan</v>
      </c>
      <c r="AQ254" s="251" t="str">
        <f ca="1" t="shared" si="21"/>
        <v>You do not qualify for tax exemption as your income is borne/paid by a Singapore entity.</v>
      </c>
      <c r="AR254" s="251"/>
      <c r="AS254" s="251"/>
      <c r="AT254" s="251"/>
      <c r="AU254" s="251"/>
      <c r="AV254" s="251"/>
      <c r="AW254" s="251"/>
      <c r="AX254" s="251"/>
      <c r="AY254" s="251"/>
      <c r="AZ254" s="251"/>
      <c r="BA254" s="251"/>
      <c r="BB254" s="251"/>
      <c r="BC254" s="251"/>
      <c r="BD254" s="251"/>
      <c r="BE254" s="251"/>
      <c r="BF254" s="251"/>
      <c r="BG254" s="251"/>
      <c r="BH254" s="251"/>
    </row>
    <row r="255" spans="2:60" ht="16.5">
      <c r="B255" s="1"/>
      <c r="C255" s="92"/>
      <c r="E255" s="92"/>
      <c r="F255" s="92"/>
      <c r="G255" s="92"/>
      <c r="H255" s="92"/>
      <c r="I255" s="92"/>
      <c r="J255" s="92"/>
      <c r="K255" s="92"/>
      <c r="L255" s="92"/>
      <c r="M255" s="92"/>
      <c r="P255" s="251"/>
      <c r="Q255" s="251"/>
      <c r="R255" s="251"/>
      <c r="S255" s="251"/>
      <c r="T255" s="251"/>
      <c r="U255" s="251"/>
      <c r="V255" s="251"/>
      <c r="W255" s="251"/>
      <c r="X255" s="251"/>
      <c r="Y255" s="251"/>
      <c r="Z255" s="251"/>
      <c r="AA255" s="251"/>
      <c r="AB255" s="255"/>
      <c r="AC255" s="287" t="s">
        <v>190</v>
      </c>
      <c r="AD255" s="288"/>
      <c r="AE255" s="288" t="s">
        <v>90</v>
      </c>
      <c r="AF255" s="288"/>
      <c r="AG255" s="288">
        <v>270</v>
      </c>
      <c r="AH255" s="288"/>
      <c r="AI255" s="288"/>
      <c r="AJ255" s="288">
        <f t="shared" si="17"/>
        <v>270</v>
      </c>
      <c r="AK255" s="288"/>
      <c r="AL255" s="289"/>
      <c r="AM255" s="251" t="str">
        <f t="shared" si="24"/>
        <v>Moving</v>
      </c>
      <c r="AN255" s="251" t="str">
        <f t="shared" si="27"/>
        <v>Please answer question 2a and complete section 3.</v>
      </c>
      <c r="AO255" s="290"/>
      <c r="AP255" s="287" t="str">
        <f t="shared" si="26"/>
        <v>Panama</v>
      </c>
      <c r="AQ255" s="251" t="str">
        <f ca="1" t="shared" si="21"/>
        <v>To qualify for tax exemption, you must not have a fixed base in Singapore and your physical presence in any 12-month period must not exceed  days.</v>
      </c>
      <c r="AR255" s="251"/>
      <c r="AS255" s="251"/>
      <c r="AT255" s="251"/>
      <c r="AU255" s="251"/>
      <c r="AV255" s="251"/>
      <c r="AW255" s="251"/>
      <c r="AX255" s="251"/>
      <c r="AY255" s="251"/>
      <c r="AZ255" s="251"/>
      <c r="BA255" s="251"/>
      <c r="BB255" s="251"/>
      <c r="BC255" s="251"/>
      <c r="BD255" s="251"/>
      <c r="BE255" s="251"/>
      <c r="BF255" s="251"/>
      <c r="BG255" s="251"/>
      <c r="BH255" s="251"/>
    </row>
    <row r="256" spans="2:60" ht="22.5">
      <c r="B256" s="1"/>
      <c r="C256" s="92"/>
      <c r="E256" s="92"/>
      <c r="F256" s="92"/>
      <c r="G256" s="92"/>
      <c r="H256" s="92"/>
      <c r="I256" s="92"/>
      <c r="J256" s="92"/>
      <c r="K256" s="92"/>
      <c r="L256" s="92"/>
      <c r="M256" s="92"/>
      <c r="P256" s="251"/>
      <c r="Q256" s="251"/>
      <c r="R256" s="251"/>
      <c r="S256" s="251"/>
      <c r="T256" s="251"/>
      <c r="U256" s="251"/>
      <c r="V256" s="251"/>
      <c r="W256" s="251"/>
      <c r="X256" s="251"/>
      <c r="Y256" s="251"/>
      <c r="Z256" s="251"/>
      <c r="AA256" s="251"/>
      <c r="AB256" s="255"/>
      <c r="AC256" s="287" t="s">
        <v>129</v>
      </c>
      <c r="AD256" s="288"/>
      <c r="AE256" s="288" t="s">
        <v>90</v>
      </c>
      <c r="AF256" s="288">
        <v>90</v>
      </c>
      <c r="AG256" s="288"/>
      <c r="AH256" s="288"/>
      <c r="AI256" s="288"/>
      <c r="AJ256" s="288">
        <f t="shared" si="17"/>
        <v>90</v>
      </c>
      <c r="AK256" s="293" t="s">
        <v>130</v>
      </c>
      <c r="AL256" s="289"/>
      <c r="AM256" s="251" t="str">
        <f t="shared" si="24"/>
        <v>Calendar</v>
      </c>
      <c r="AN256" s="251" t="str">
        <f t="shared" si="27"/>
        <v>Please answer questions 2a, 2b and complete section 3.</v>
      </c>
      <c r="AO256" s="290"/>
      <c r="AP256" s="287" t="str">
        <f t="shared" si="26"/>
        <v>Papua New Guinea</v>
      </c>
      <c r="AQ256" s="251" t="str">
        <f ca="1" t="shared" si="21"/>
        <v>To qualify for tax exemption, you must not have a fixed base in Singapore, your income must be below  and your physical presence in any 12-month period must not exceed  days.</v>
      </c>
      <c r="AR256" s="251"/>
      <c r="AS256" s="251"/>
      <c r="AT256" s="251"/>
      <c r="AU256" s="251"/>
      <c r="AV256" s="251"/>
      <c r="AW256" s="251"/>
      <c r="AX256" s="251"/>
      <c r="AY256" s="251"/>
      <c r="AZ256" s="251"/>
      <c r="BA256" s="251"/>
      <c r="BB256" s="251"/>
      <c r="BC256" s="251"/>
      <c r="BD256" s="251"/>
      <c r="BE256" s="251"/>
      <c r="BF256" s="251"/>
      <c r="BG256" s="251"/>
      <c r="BH256" s="251"/>
    </row>
    <row r="257" spans="2:60" ht="16.5">
      <c r="B257" s="1"/>
      <c r="C257" s="92"/>
      <c r="E257" s="92"/>
      <c r="F257" s="92"/>
      <c r="G257" s="92"/>
      <c r="H257" s="92"/>
      <c r="I257" s="92"/>
      <c r="J257" s="92"/>
      <c r="K257" s="92"/>
      <c r="L257" s="92"/>
      <c r="M257" s="92"/>
      <c r="P257" s="251"/>
      <c r="Q257" s="251"/>
      <c r="R257" s="251"/>
      <c r="S257" s="251"/>
      <c r="T257" s="251"/>
      <c r="U257" s="251"/>
      <c r="V257" s="251"/>
      <c r="W257" s="251"/>
      <c r="X257" s="251"/>
      <c r="Y257" s="251"/>
      <c r="Z257" s="251"/>
      <c r="AA257" s="251"/>
      <c r="AB257" s="251"/>
      <c r="AC257" s="287" t="s">
        <v>131</v>
      </c>
      <c r="AD257" s="291" t="s">
        <v>88</v>
      </c>
      <c r="AE257" s="288"/>
      <c r="AF257" s="288"/>
      <c r="AG257" s="288"/>
      <c r="AH257" s="288"/>
      <c r="AI257" s="288"/>
      <c r="AJ257" s="288">
        <f t="shared" si="17"/>
        <v>0</v>
      </c>
      <c r="AK257" s="288"/>
      <c r="AL257" s="289"/>
      <c r="AM257" s="251">
        <f t="shared" si="24"/>
      </c>
      <c r="AN257" s="251" t="str">
        <f t="shared" si="27"/>
        <v>None - Assume Cost Borne</v>
      </c>
      <c r="AO257" s="290"/>
      <c r="AP257" s="287" t="str">
        <f t="shared" si="26"/>
        <v>Philippines</v>
      </c>
      <c r="AQ257" s="251" t="str">
        <f ca="1" t="shared" si="21"/>
        <v>You do not qualify for tax exemption as your income is borne/paid by a Singapore entity.</v>
      </c>
      <c r="AR257" s="251"/>
      <c r="AS257" s="251"/>
      <c r="AT257" s="251"/>
      <c r="AU257" s="251"/>
      <c r="AV257" s="251"/>
      <c r="AW257" s="251"/>
      <c r="AX257" s="251"/>
      <c r="AY257" s="251"/>
      <c r="AZ257" s="251"/>
      <c r="BA257" s="251"/>
      <c r="BB257" s="251"/>
      <c r="BC257" s="251"/>
      <c r="BD257" s="251"/>
      <c r="BE257" s="251"/>
      <c r="BF257" s="251"/>
      <c r="BG257" s="251"/>
      <c r="BH257" s="251"/>
    </row>
    <row r="258" spans="16:60" ht="16.5">
      <c r="P258" s="251"/>
      <c r="Q258" s="251"/>
      <c r="R258" s="251"/>
      <c r="S258" s="251"/>
      <c r="T258" s="251"/>
      <c r="U258" s="251"/>
      <c r="V258" s="251"/>
      <c r="W258" s="251"/>
      <c r="X258" s="251"/>
      <c r="Y258" s="251"/>
      <c r="Z258" s="251"/>
      <c r="AA258" s="251"/>
      <c r="AB258" s="251"/>
      <c r="AC258" s="287" t="s">
        <v>227</v>
      </c>
      <c r="AD258" s="288"/>
      <c r="AE258" s="288" t="s">
        <v>90</v>
      </c>
      <c r="AF258" s="288"/>
      <c r="AG258" s="288"/>
      <c r="AH258" s="288"/>
      <c r="AI258" s="288">
        <v>365</v>
      </c>
      <c r="AJ258" s="288">
        <f>SUM(AF258:AI258)</f>
        <v>365</v>
      </c>
      <c r="AK258" s="288"/>
      <c r="AL258" s="289"/>
      <c r="AM258" s="251" t="str">
        <f>IF(OR(ISBLANK(AF258)=FALSE,ISBLANK(AK258)=FALSE)=TRUE,"Calendar",IF(OR(ISBLANK(AG258)=FALSE,ISBLANK(AH258)=FALSE,ISBLANK(AI258)=FALSE)=TRUE,"Moving",""))</f>
        <v>Moving</v>
      </c>
      <c r="AN258" s="251" t="str">
        <f t="shared" si="27"/>
        <v>Please answer question 2a and complete section 3.</v>
      </c>
      <c r="AO258" s="290"/>
      <c r="AP258" s="287" t="str">
        <f t="shared" si="26"/>
        <v>Poland</v>
      </c>
      <c r="AQ258" s="251" t="str">
        <f aca="true" ca="1" t="shared" si="28" ref="AQ258:AQ287">IF(OR(VLOOKUP($AN258,$AC$149:$AD$155,2,FALSE)=$AD$149,VLOOKUP($AN258,$AC$149:$AD$155,2,FALSE)=$AD$154,VLOOKUP($AN258,$AC$149:$AD$155,2,FALSE)=$AD$155,YEAR($AO258)&lt;&gt;YEAR(TODAY())),VLOOKUP($AN258,$AC$149:$AD$155,2,FALSE),CONCATENATE("With effect from ",DAY($AO258)," Jan ",YEAR($AO258),", t",RIGHT(VLOOKUP($AN258,$AC$149:$AD$155,2,FALSE),LEN(VLOOKUP($AN258,$AC$149:$AD$155,2,FALSE))-1)))</f>
        <v>To qualify for tax exemption, you must not have a fixed base in Singapore and your physical presence in any 12-month period must not exceed  days.</v>
      </c>
      <c r="AR258" s="251"/>
      <c r="AS258" s="251"/>
      <c r="AT258" s="251"/>
      <c r="AU258" s="251"/>
      <c r="AV258" s="251"/>
      <c r="AW258" s="251"/>
      <c r="AX258" s="251"/>
      <c r="AY258" s="251"/>
      <c r="AZ258" s="251"/>
      <c r="BA258" s="251"/>
      <c r="BB258" s="251"/>
      <c r="BC258" s="251"/>
      <c r="BD258" s="251"/>
      <c r="BE258" s="251"/>
      <c r="BF258" s="251"/>
      <c r="BG258" s="251"/>
      <c r="BH258" s="251"/>
    </row>
    <row r="259" spans="16:60" ht="16.5">
      <c r="P259" s="251"/>
      <c r="Q259" s="251"/>
      <c r="R259" s="251"/>
      <c r="S259" s="251"/>
      <c r="T259" s="251"/>
      <c r="U259" s="251"/>
      <c r="V259" s="251"/>
      <c r="W259" s="251"/>
      <c r="X259" s="251"/>
      <c r="Y259" s="251"/>
      <c r="Z259" s="251"/>
      <c r="AA259" s="251"/>
      <c r="AB259" s="251"/>
      <c r="AC259" s="287" t="s">
        <v>132</v>
      </c>
      <c r="AD259" s="288"/>
      <c r="AE259" s="288" t="s">
        <v>90</v>
      </c>
      <c r="AF259" s="288"/>
      <c r="AG259" s="288">
        <f>183-1</f>
        <v>182</v>
      </c>
      <c r="AH259" s="288"/>
      <c r="AI259" s="288"/>
      <c r="AJ259" s="288">
        <f t="shared" si="17"/>
        <v>182</v>
      </c>
      <c r="AK259" s="288"/>
      <c r="AL259" s="289"/>
      <c r="AM259" s="251" t="str">
        <f t="shared" si="24"/>
        <v>Moving</v>
      </c>
      <c r="AN259" s="251" t="str">
        <f t="shared" si="27"/>
        <v>Please answer question 2a and complete section 3.</v>
      </c>
      <c r="AO259" s="290"/>
      <c r="AP259" s="287" t="str">
        <f t="shared" si="26"/>
        <v>Portugal</v>
      </c>
      <c r="AQ259" s="251" t="str">
        <f ca="1" t="shared" si="28"/>
        <v>To qualify for tax exemption, you must not have a fixed base in Singapore and your physical presence in any 12-month period must not exceed  days.</v>
      </c>
      <c r="AR259" s="251"/>
      <c r="AS259" s="251"/>
      <c r="AT259" s="251"/>
      <c r="AU259" s="251"/>
      <c r="AV259" s="251"/>
      <c r="AW259" s="251"/>
      <c r="AX259" s="251"/>
      <c r="AY259" s="251"/>
      <c r="AZ259" s="251"/>
      <c r="BA259" s="251"/>
      <c r="BB259" s="251"/>
      <c r="BC259" s="251"/>
      <c r="BD259" s="251"/>
      <c r="BE259" s="251"/>
      <c r="BF259" s="251"/>
      <c r="BG259" s="251"/>
      <c r="BH259" s="251"/>
    </row>
    <row r="260" spans="16:60" ht="16.5">
      <c r="P260" s="251"/>
      <c r="Q260" s="251"/>
      <c r="R260" s="251"/>
      <c r="S260" s="251"/>
      <c r="T260" s="251"/>
      <c r="U260" s="251"/>
      <c r="V260" s="251"/>
      <c r="W260" s="251"/>
      <c r="X260" s="251"/>
      <c r="Y260" s="251"/>
      <c r="Z260" s="251"/>
      <c r="AA260" s="251"/>
      <c r="AB260" s="251"/>
      <c r="AC260" s="287" t="s">
        <v>133</v>
      </c>
      <c r="AD260" s="288"/>
      <c r="AE260" s="288" t="s">
        <v>90</v>
      </c>
      <c r="AF260" s="288"/>
      <c r="AG260" s="288">
        <v>183</v>
      </c>
      <c r="AH260" s="288"/>
      <c r="AI260" s="288"/>
      <c r="AJ260" s="288">
        <f t="shared" si="17"/>
        <v>183</v>
      </c>
      <c r="AK260" s="288"/>
      <c r="AL260" s="289"/>
      <c r="AM260" s="251" t="str">
        <f t="shared" si="24"/>
        <v>Moving</v>
      </c>
      <c r="AN260" s="251" t="str">
        <f t="shared" si="27"/>
        <v>Please answer question 2a and complete section 3.</v>
      </c>
      <c r="AO260" s="290"/>
      <c r="AP260" s="287" t="str">
        <f t="shared" si="26"/>
        <v>Qatar</v>
      </c>
      <c r="AQ260" s="251" t="str">
        <f ca="1" t="shared" si="28"/>
        <v>To qualify for tax exemption, you must not have a fixed base in Singapore and your physical presence in any 12-month period must not exceed  days.</v>
      </c>
      <c r="AR260" s="251"/>
      <c r="AS260" s="251"/>
      <c r="AT260" s="251"/>
      <c r="AU260" s="251"/>
      <c r="AV260" s="251"/>
      <c r="AW260" s="251"/>
      <c r="AX260" s="251"/>
      <c r="AY260" s="251"/>
      <c r="AZ260" s="251"/>
      <c r="BA260" s="251"/>
      <c r="BB260" s="251"/>
      <c r="BC260" s="251"/>
      <c r="BD260" s="251"/>
      <c r="BE260" s="251"/>
      <c r="BF260" s="251"/>
      <c r="BG260" s="251"/>
      <c r="BH260" s="251"/>
    </row>
    <row r="261" spans="16:60" ht="16.5">
      <c r="P261" s="251"/>
      <c r="Q261" s="251"/>
      <c r="R261" s="251"/>
      <c r="S261" s="251"/>
      <c r="T261" s="251"/>
      <c r="U261" s="251"/>
      <c r="V261" s="251"/>
      <c r="W261" s="251"/>
      <c r="X261" s="251"/>
      <c r="Y261" s="251"/>
      <c r="Z261" s="251"/>
      <c r="AA261" s="251"/>
      <c r="AB261" s="251"/>
      <c r="AC261" s="287" t="s">
        <v>134</v>
      </c>
      <c r="AD261" s="288"/>
      <c r="AE261" s="288" t="s">
        <v>90</v>
      </c>
      <c r="AF261" s="288"/>
      <c r="AG261" s="288"/>
      <c r="AH261" s="288"/>
      <c r="AI261" s="288"/>
      <c r="AJ261" s="288">
        <f t="shared" si="17"/>
        <v>0</v>
      </c>
      <c r="AK261" s="288"/>
      <c r="AL261" s="289"/>
      <c r="AM261" s="251">
        <f t="shared" si="24"/>
      </c>
      <c r="AN261" s="251" t="str">
        <f t="shared" si="27"/>
        <v>Please answer question 2a.</v>
      </c>
      <c r="AO261" s="290"/>
      <c r="AP261" s="287" t="str">
        <f t="shared" si="26"/>
        <v>Romania</v>
      </c>
      <c r="AQ261" s="251" t="str">
        <f ca="1" t="shared" si="28"/>
        <v>To qualify for tax exemption, you must not have a fixed base in Singapore.</v>
      </c>
      <c r="AR261" s="251"/>
      <c r="AS261" s="251"/>
      <c r="AT261" s="251"/>
      <c r="AU261" s="251"/>
      <c r="AV261" s="251"/>
      <c r="AW261" s="251"/>
      <c r="AX261" s="251"/>
      <c r="AY261" s="251"/>
      <c r="AZ261" s="251"/>
      <c r="BA261" s="251"/>
      <c r="BB261" s="251"/>
      <c r="BC261" s="251"/>
      <c r="BD261" s="251"/>
      <c r="BE261" s="251"/>
      <c r="BF261" s="251"/>
      <c r="BG261" s="251"/>
      <c r="BH261" s="251"/>
    </row>
    <row r="262" spans="16:60" ht="22.5">
      <c r="P262" s="251"/>
      <c r="Q262" s="251"/>
      <c r="R262" s="251"/>
      <c r="S262" s="251"/>
      <c r="T262" s="251"/>
      <c r="U262" s="251"/>
      <c r="V262" s="251"/>
      <c r="W262" s="251"/>
      <c r="X262" s="251"/>
      <c r="Y262" s="251"/>
      <c r="Z262" s="251"/>
      <c r="AA262" s="251"/>
      <c r="AB262" s="251"/>
      <c r="AC262" s="287" t="s">
        <v>239</v>
      </c>
      <c r="AD262" s="288"/>
      <c r="AE262" s="288" t="s">
        <v>90</v>
      </c>
      <c r="AF262" s="288"/>
      <c r="AG262" s="288">
        <v>183</v>
      </c>
      <c r="AH262" s="288"/>
      <c r="AI262" s="288"/>
      <c r="AJ262" s="288">
        <f t="shared" si="17"/>
        <v>183</v>
      </c>
      <c r="AK262" s="288"/>
      <c r="AL262" s="289"/>
      <c r="AM262" s="251" t="str">
        <f t="shared" si="24"/>
        <v>Moving</v>
      </c>
      <c r="AN262" s="251" t="str">
        <f t="shared" si="27"/>
        <v>Please answer question 2a and complete section 3.</v>
      </c>
      <c r="AO262" s="290"/>
      <c r="AP262" s="287" t="str">
        <f t="shared" si="26"/>
        <v>Russian Federation</v>
      </c>
      <c r="AQ262" s="251" t="str">
        <f ca="1" t="shared" si="28"/>
        <v>To qualify for tax exemption, you must not have a fixed base in Singapore and your physical presence in any 12-month period must not exceed  days.</v>
      </c>
      <c r="AR262" s="251"/>
      <c r="AS262" s="251"/>
      <c r="AT262" s="251"/>
      <c r="AU262" s="251"/>
      <c r="AV262" s="251"/>
      <c r="AW262" s="251"/>
      <c r="AX262" s="251"/>
      <c r="AY262" s="251"/>
      <c r="AZ262" s="251"/>
      <c r="BA262" s="251"/>
      <c r="BB262" s="251"/>
      <c r="BC262" s="251"/>
      <c r="BD262" s="251"/>
      <c r="BE262" s="251"/>
      <c r="BF262" s="251"/>
      <c r="BG262" s="251"/>
      <c r="BH262" s="251"/>
    </row>
    <row r="263" spans="16:60" ht="16.5">
      <c r="P263" s="251"/>
      <c r="Q263" s="251"/>
      <c r="R263" s="251"/>
      <c r="S263" s="251"/>
      <c r="T263" s="251"/>
      <c r="U263" s="251"/>
      <c r="V263" s="251"/>
      <c r="W263" s="251"/>
      <c r="X263" s="251"/>
      <c r="Y263" s="251"/>
      <c r="Z263" s="251"/>
      <c r="AA263" s="251"/>
      <c r="AB263" s="251"/>
      <c r="AC263" s="287" t="s">
        <v>237</v>
      </c>
      <c r="AD263" s="288"/>
      <c r="AE263" s="291" t="s">
        <v>272</v>
      </c>
      <c r="AF263" s="288"/>
      <c r="AG263" s="288"/>
      <c r="AH263" s="288"/>
      <c r="AI263" s="288"/>
      <c r="AJ263" s="288"/>
      <c r="AK263" s="288"/>
      <c r="AL263" s="289" t="s">
        <v>274</v>
      </c>
      <c r="AM263" s="251"/>
      <c r="AN263" s="251" t="str">
        <f t="shared" si="27"/>
        <v>Please answer question 2a.</v>
      </c>
      <c r="AO263" s="290"/>
      <c r="AP263" s="287" t="str">
        <f t="shared" si="26"/>
        <v>Rwanda</v>
      </c>
      <c r="AQ263" s="251" t="str">
        <f ca="1">IF(YEAR($AO263)&lt;&gt;YEAR(TODAY()),VLOOKUP($AC$156,$AC$149:$AD$157,2,FALSE),CONCATENATE("With effect from ",DAY($AO263)," Jan ",YEAR($AO263),", t",RIGHT(VLOOKUP($AC$156,$AC$149:$AD$157,2,FALSE),LEN(VLOOKUP($AC$156,$AC$149:$AD$157,2,FALSE))-1)))</f>
        <v>To qualify for reduced withholding tax rate, you must not have a fixed base in Singapore.</v>
      </c>
      <c r="AR263" s="251"/>
      <c r="AS263" s="251"/>
      <c r="AT263" s="251"/>
      <c r="AU263" s="251"/>
      <c r="AV263" s="251"/>
      <c r="AW263" s="251"/>
      <c r="AX263" s="251"/>
      <c r="AY263" s="251"/>
      <c r="AZ263" s="251"/>
      <c r="BA263" s="251"/>
      <c r="BB263" s="251"/>
      <c r="BC263" s="251"/>
      <c r="BD263" s="251"/>
      <c r="BE263" s="251"/>
      <c r="BF263" s="251"/>
      <c r="BG263" s="251"/>
      <c r="BH263" s="251"/>
    </row>
    <row r="264" spans="16:60" ht="15" customHeight="1">
      <c r="P264" s="251"/>
      <c r="Q264" s="251"/>
      <c r="R264" s="251"/>
      <c r="S264" s="251"/>
      <c r="T264" s="251"/>
      <c r="U264" s="251"/>
      <c r="V264" s="251"/>
      <c r="W264" s="251"/>
      <c r="X264" s="251"/>
      <c r="Y264" s="251"/>
      <c r="Z264" s="251"/>
      <c r="AA264" s="251"/>
      <c r="AB264" s="251"/>
      <c r="AC264" s="287" t="s">
        <v>228</v>
      </c>
      <c r="AD264" s="288"/>
      <c r="AE264" s="288" t="s">
        <v>90</v>
      </c>
      <c r="AF264" s="288"/>
      <c r="AG264" s="288"/>
      <c r="AH264" s="288"/>
      <c r="AI264" s="288">
        <v>365</v>
      </c>
      <c r="AJ264" s="288">
        <f t="shared" si="17"/>
        <v>365</v>
      </c>
      <c r="AK264" s="288"/>
      <c r="AL264" s="289"/>
      <c r="AM264" s="251" t="str">
        <f t="shared" si="24"/>
        <v>Moving</v>
      </c>
      <c r="AN264" s="251" t="str">
        <f>IF(ISBLANK(AK264)=FALSE,$AC$152,IF(ISBLANK(AH264)=FALSE,$AC$153,IF(OR(ISBLANK(AG264)=FALSE,ISBLANK(AF264)=FALSE,ISBLANK(AI264)=FALSE)=TRUE,$AC$151,IF(ISBLANK(AE264)=FALSE,$AC$150,IF(ISBLANK(AD264)=FALSE,$AC$149,$AC$154)))))</f>
        <v>Please answer question 2a and complete section 3.</v>
      </c>
      <c r="AO264" s="290"/>
      <c r="AP264" s="287" t="str">
        <f>AC264</f>
        <v>San Marino</v>
      </c>
      <c r="AQ264" s="251" t="str">
        <f ca="1" t="shared" si="28"/>
        <v>To qualify for tax exemption, you must not have a fixed base in Singapore and your physical presence in any 12-month period must not exceed  days.</v>
      </c>
      <c r="AR264" s="251"/>
      <c r="AS264" s="251"/>
      <c r="AT264" s="251"/>
      <c r="AU264" s="251"/>
      <c r="AV264" s="251"/>
      <c r="AW264" s="251"/>
      <c r="AX264" s="251"/>
      <c r="AY264" s="251"/>
      <c r="AZ264" s="251"/>
      <c r="BA264" s="251"/>
      <c r="BB264" s="251"/>
      <c r="BC264" s="251"/>
      <c r="BD264" s="251"/>
      <c r="BE264" s="251"/>
      <c r="BF264" s="251"/>
      <c r="BG264" s="251"/>
      <c r="BH264" s="251"/>
    </row>
    <row r="265" spans="16:60" ht="15" customHeight="1">
      <c r="P265" s="251"/>
      <c r="Q265" s="251"/>
      <c r="R265" s="251"/>
      <c r="S265" s="251"/>
      <c r="T265" s="251"/>
      <c r="U265" s="251"/>
      <c r="V265" s="251"/>
      <c r="W265" s="251"/>
      <c r="X265" s="251"/>
      <c r="Y265" s="251"/>
      <c r="Z265" s="251"/>
      <c r="AA265" s="251"/>
      <c r="AB265" s="251"/>
      <c r="AC265" s="287" t="s">
        <v>191</v>
      </c>
      <c r="AD265" s="288"/>
      <c r="AE265" s="288" t="s">
        <v>90</v>
      </c>
      <c r="AF265" s="288"/>
      <c r="AG265" s="288">
        <v>182</v>
      </c>
      <c r="AH265" s="288"/>
      <c r="AI265" s="288"/>
      <c r="AJ265" s="288">
        <f t="shared" si="17"/>
        <v>182</v>
      </c>
      <c r="AK265" s="288"/>
      <c r="AL265" s="289"/>
      <c r="AM265" s="251" t="str">
        <f t="shared" si="24"/>
        <v>Moving</v>
      </c>
      <c r="AN265" s="251" t="str">
        <f t="shared" si="27"/>
        <v>Please answer question 2a and complete section 3.</v>
      </c>
      <c r="AO265" s="290"/>
      <c r="AP265" s="287" t="str">
        <f t="shared" si="26"/>
        <v>Saudi Arabia</v>
      </c>
      <c r="AQ265" s="251" t="str">
        <f ca="1" t="shared" si="28"/>
        <v>To qualify for tax exemption, you must not have a fixed base in Singapore and your physical presence in any 12-month period must not exceed  days.</v>
      </c>
      <c r="AR265" s="251"/>
      <c r="AS265" s="251"/>
      <c r="AT265" s="251"/>
      <c r="AU265" s="251"/>
      <c r="AV265" s="251"/>
      <c r="AW265" s="251"/>
      <c r="AX265" s="251"/>
      <c r="AY265" s="251"/>
      <c r="AZ265" s="251"/>
      <c r="BA265" s="251"/>
      <c r="BB265" s="251"/>
      <c r="BC265" s="251"/>
      <c r="BD265" s="251"/>
      <c r="BE265" s="251"/>
      <c r="BF265" s="251"/>
      <c r="BG265" s="251"/>
      <c r="BH265" s="251"/>
    </row>
    <row r="266" spans="16:60" ht="15" customHeight="1">
      <c r="P266" s="251"/>
      <c r="Q266" s="251"/>
      <c r="R266" s="251"/>
      <c r="S266" s="251"/>
      <c r="T266" s="251"/>
      <c r="U266" s="251"/>
      <c r="V266" s="251"/>
      <c r="W266" s="251"/>
      <c r="X266" s="251"/>
      <c r="Y266" s="251"/>
      <c r="Z266" s="251"/>
      <c r="AA266" s="251"/>
      <c r="AB266" s="251"/>
      <c r="AC266" s="287" t="s">
        <v>321</v>
      </c>
      <c r="AD266" s="288"/>
      <c r="AE266" s="288" t="s">
        <v>90</v>
      </c>
      <c r="AF266" s="288"/>
      <c r="AG266" s="288">
        <v>269</v>
      </c>
      <c r="AH266" s="288"/>
      <c r="AI266" s="288"/>
      <c r="AJ266" s="288">
        <f>SUM(AF266:AI266)</f>
        <v>269</v>
      </c>
      <c r="AK266" s="288"/>
      <c r="AL266" s="289"/>
      <c r="AM266" s="251" t="str">
        <f>IF(OR(ISBLANK(AF266)=FALSE,ISBLANK(AK266)=FALSE)=TRUE,"Calendar",IF(OR(ISBLANK(AG266)=FALSE,ISBLANK(AH266)=FALSE,ISBLANK(AI266)=FALSE)=TRUE,"Moving",""))</f>
        <v>Moving</v>
      </c>
      <c r="AN266" s="251" t="str">
        <f>IF(ISBLANK(AK266)=FALSE,$AC$152,IF(ISBLANK(AH266)=FALSE,$AC$153,IF(OR(ISBLANK(AG266)=FALSE,ISBLANK(AF266)=FALSE,ISBLANK(AI266)=FALSE)=TRUE,$AC$151,IF(ISBLANK(AE266)=FALSE,$AC$150,IF(ISBLANK(AD266)=FALSE,$AC$149,$AC$154)))))</f>
        <v>Please answer question 2a and complete section 3.</v>
      </c>
      <c r="AO266" s="290">
        <v>44562</v>
      </c>
      <c r="AP266" s="287" t="str">
        <f t="shared" si="26"/>
        <v>Serbia</v>
      </c>
      <c r="AQ266" s="251" t="str">
        <f ca="1" t="shared" si="28"/>
        <v>With effect from 1 Jan 2022, to qualify for tax exemption, you must not have a fixed base in Singapore and your physical presence in any 12-month period must not exceed  days.</v>
      </c>
      <c r="AR266" s="251"/>
      <c r="AS266" s="251"/>
      <c r="AT266" s="251"/>
      <c r="AU266" s="251"/>
      <c r="AV266" s="251"/>
      <c r="AW266" s="251"/>
      <c r="AX266" s="251"/>
      <c r="AY266" s="251"/>
      <c r="AZ266" s="251"/>
      <c r="BA266" s="251"/>
      <c r="BB266" s="251"/>
      <c r="BC266" s="251"/>
      <c r="BD266" s="251"/>
      <c r="BE266" s="251"/>
      <c r="BF266" s="251"/>
      <c r="BG266" s="251"/>
      <c r="BH266" s="251"/>
    </row>
    <row r="267" spans="16:60" ht="15" customHeight="1">
      <c r="P267" s="251"/>
      <c r="Q267" s="251"/>
      <c r="R267" s="251"/>
      <c r="S267" s="251"/>
      <c r="T267" s="251"/>
      <c r="U267" s="251"/>
      <c r="V267" s="251"/>
      <c r="W267" s="251"/>
      <c r="X267" s="251"/>
      <c r="Y267" s="251"/>
      <c r="Z267" s="251"/>
      <c r="AA267" s="251"/>
      <c r="AB267" s="251"/>
      <c r="AC267" s="287" t="s">
        <v>229</v>
      </c>
      <c r="AD267" s="288"/>
      <c r="AE267" s="288" t="s">
        <v>90</v>
      </c>
      <c r="AF267" s="288"/>
      <c r="AG267" s="288"/>
      <c r="AH267" s="288"/>
      <c r="AI267" s="288">
        <v>365</v>
      </c>
      <c r="AJ267" s="288">
        <f t="shared" si="17"/>
        <v>365</v>
      </c>
      <c r="AK267" s="288"/>
      <c r="AL267" s="289"/>
      <c r="AM267" s="251" t="str">
        <f t="shared" si="24"/>
        <v>Moving</v>
      </c>
      <c r="AN267" s="251" t="str">
        <f>IF(ISBLANK(AK267)=FALSE,$AC$152,IF(ISBLANK(AH267)=FALSE,$AC$153,IF(OR(ISBLANK(AG267)=FALSE,ISBLANK(AF267)=FALSE,ISBLANK(AI267)=FALSE)=TRUE,$AC$151,IF(ISBLANK(AE267)=FALSE,$AC$150,IF(ISBLANK(AD267)=FALSE,$AC$149,$AC$154)))))</f>
        <v>Please answer question 2a and complete section 3.</v>
      </c>
      <c r="AO267" s="290"/>
      <c r="AP267" s="287" t="str">
        <f>AC267</f>
        <v>Seychelles</v>
      </c>
      <c r="AQ267" s="251" t="str">
        <f ca="1" t="shared" si="28"/>
        <v>To qualify for tax exemption, you must not have a fixed base in Singapore and your physical presence in any 12-month period must not exceed  days.</v>
      </c>
      <c r="AR267" s="251"/>
      <c r="AS267" s="251"/>
      <c r="AT267" s="251"/>
      <c r="AU267" s="251"/>
      <c r="AV267" s="251"/>
      <c r="AW267" s="251"/>
      <c r="AX267" s="251"/>
      <c r="AY267" s="251"/>
      <c r="AZ267" s="251"/>
      <c r="BA267" s="251"/>
      <c r="BB267" s="251"/>
      <c r="BC267" s="251"/>
      <c r="BD267" s="251"/>
      <c r="BE267" s="251"/>
      <c r="BF267" s="251"/>
      <c r="BG267" s="251"/>
      <c r="BH267" s="251"/>
    </row>
    <row r="268" spans="16:60" ht="15" customHeight="1">
      <c r="P268" s="251"/>
      <c r="Q268" s="251"/>
      <c r="R268" s="251"/>
      <c r="S268" s="251"/>
      <c r="T268" s="251"/>
      <c r="U268" s="251"/>
      <c r="V268" s="251"/>
      <c r="W268" s="251"/>
      <c r="X268" s="251"/>
      <c r="Y268" s="251"/>
      <c r="Z268" s="251"/>
      <c r="AA268" s="251"/>
      <c r="AB268" s="251"/>
      <c r="AC268" s="287" t="s">
        <v>135</v>
      </c>
      <c r="AD268" s="288"/>
      <c r="AE268" s="288" t="s">
        <v>90</v>
      </c>
      <c r="AF268" s="288"/>
      <c r="AG268" s="288">
        <v>183</v>
      </c>
      <c r="AH268" s="288"/>
      <c r="AI268" s="288"/>
      <c r="AJ268" s="288">
        <f t="shared" si="17"/>
        <v>183</v>
      </c>
      <c r="AK268" s="288"/>
      <c r="AL268" s="289"/>
      <c r="AM268" s="251" t="str">
        <f t="shared" si="24"/>
        <v>Moving</v>
      </c>
      <c r="AN268" s="251" t="str">
        <f t="shared" si="27"/>
        <v>Please answer question 2a and complete section 3.</v>
      </c>
      <c r="AO268" s="290"/>
      <c r="AP268" s="287" t="str">
        <f t="shared" si="26"/>
        <v>Slovak Republic</v>
      </c>
      <c r="AQ268" s="251" t="str">
        <f ca="1" t="shared" si="28"/>
        <v>To qualify for tax exemption, you must not have a fixed base in Singapore and your physical presence in any 12-month period must not exceed  days.</v>
      </c>
      <c r="AR268" s="251"/>
      <c r="AS268" s="251"/>
      <c r="AT268" s="251"/>
      <c r="AU268" s="251"/>
      <c r="AV268" s="251"/>
      <c r="AW268" s="251"/>
      <c r="AX268" s="251"/>
      <c r="AY268" s="251"/>
      <c r="AZ268" s="251"/>
      <c r="BA268" s="251"/>
      <c r="BB268" s="251"/>
      <c r="BC268" s="251"/>
      <c r="BD268" s="251"/>
      <c r="BE268" s="251"/>
      <c r="BF268" s="251"/>
      <c r="BG268" s="251"/>
      <c r="BH268" s="251"/>
    </row>
    <row r="269" spans="16:60" ht="16.5">
      <c r="P269" s="251"/>
      <c r="Q269" s="251"/>
      <c r="R269" s="251"/>
      <c r="S269" s="251"/>
      <c r="T269" s="251"/>
      <c r="U269" s="251"/>
      <c r="V269" s="251"/>
      <c r="W269" s="251"/>
      <c r="X269" s="251"/>
      <c r="Y269" s="251"/>
      <c r="Z269" s="251"/>
      <c r="AA269" s="251"/>
      <c r="AB269" s="251"/>
      <c r="AC269" s="287" t="s">
        <v>188</v>
      </c>
      <c r="AD269" s="288"/>
      <c r="AE269" s="288" t="s">
        <v>90</v>
      </c>
      <c r="AF269" s="288"/>
      <c r="AG269" s="288">
        <v>270</v>
      </c>
      <c r="AH269" s="288"/>
      <c r="AI269" s="288"/>
      <c r="AJ269" s="288">
        <f t="shared" si="17"/>
        <v>270</v>
      </c>
      <c r="AK269" s="288"/>
      <c r="AL269" s="289"/>
      <c r="AM269" s="251" t="str">
        <f t="shared" si="24"/>
        <v>Moving</v>
      </c>
      <c r="AN269" s="251" t="str">
        <f t="shared" si="27"/>
        <v>Please answer question 2a and complete section 3.</v>
      </c>
      <c r="AO269" s="290"/>
      <c r="AP269" s="287" t="str">
        <f t="shared" si="26"/>
        <v>Slovenia</v>
      </c>
      <c r="AQ269" s="251" t="str">
        <f ca="1" t="shared" si="28"/>
        <v>To qualify for tax exemption, you must not have a fixed base in Singapore and your physical presence in any 12-month period must not exceed  days.</v>
      </c>
      <c r="AR269" s="251"/>
      <c r="AS269" s="251"/>
      <c r="AT269" s="251"/>
      <c r="AU269" s="251"/>
      <c r="AV269" s="251"/>
      <c r="AW269" s="251"/>
      <c r="AX269" s="251"/>
      <c r="AY269" s="251"/>
      <c r="AZ269" s="251"/>
      <c r="BA269" s="251"/>
      <c r="BB269" s="251"/>
      <c r="BC269" s="251"/>
      <c r="BD269" s="251"/>
      <c r="BE269" s="251"/>
      <c r="BF269" s="251"/>
      <c r="BG269" s="251"/>
      <c r="BH269" s="251"/>
    </row>
    <row r="270" spans="16:60" ht="16.5">
      <c r="P270" s="251"/>
      <c r="Q270" s="251"/>
      <c r="R270" s="251"/>
      <c r="S270" s="251"/>
      <c r="T270" s="251"/>
      <c r="U270" s="251"/>
      <c r="V270" s="251"/>
      <c r="W270" s="251"/>
      <c r="X270" s="251"/>
      <c r="Y270" s="251"/>
      <c r="Z270" s="251"/>
      <c r="AA270" s="251"/>
      <c r="AB270" s="251"/>
      <c r="AC270" s="287" t="s">
        <v>136</v>
      </c>
      <c r="AD270" s="288"/>
      <c r="AE270" s="288" t="s">
        <v>90</v>
      </c>
      <c r="AF270" s="288"/>
      <c r="AG270" s="288">
        <v>183</v>
      </c>
      <c r="AH270" s="288"/>
      <c r="AI270" s="288"/>
      <c r="AJ270" s="288">
        <f t="shared" si="17"/>
        <v>183</v>
      </c>
      <c r="AK270" s="288"/>
      <c r="AL270" s="289"/>
      <c r="AM270" s="251" t="str">
        <f t="shared" si="24"/>
        <v>Moving</v>
      </c>
      <c r="AN270" s="251" t="str">
        <f t="shared" si="27"/>
        <v>Please answer question 2a and complete section 3.</v>
      </c>
      <c r="AO270" s="290"/>
      <c r="AP270" s="287" t="str">
        <f t="shared" si="26"/>
        <v>South Africa</v>
      </c>
      <c r="AQ270" s="251" t="str">
        <f ca="1" t="shared" si="28"/>
        <v>To qualify for tax exemption, you must not have a fixed base in Singapore and your physical presence in any 12-month period must not exceed  days.</v>
      </c>
      <c r="AR270" s="251"/>
      <c r="AS270" s="251"/>
      <c r="AT270" s="251"/>
      <c r="AU270" s="251"/>
      <c r="AV270" s="251"/>
      <c r="AW270" s="251"/>
      <c r="AX270" s="251"/>
      <c r="AY270" s="251"/>
      <c r="AZ270" s="251"/>
      <c r="BA270" s="251"/>
      <c r="BB270" s="251"/>
      <c r="BC270" s="251"/>
      <c r="BD270" s="251"/>
      <c r="BE270" s="251"/>
      <c r="BF270" s="251"/>
      <c r="BG270" s="251"/>
      <c r="BH270" s="251"/>
    </row>
    <row r="271" spans="16:60" ht="16.5">
      <c r="P271" s="251"/>
      <c r="Q271" s="251"/>
      <c r="R271" s="251"/>
      <c r="S271" s="251"/>
      <c r="T271" s="251"/>
      <c r="U271" s="251"/>
      <c r="V271" s="251"/>
      <c r="W271" s="251"/>
      <c r="X271" s="251"/>
      <c r="Y271" s="251"/>
      <c r="Z271" s="251"/>
      <c r="AA271" s="251"/>
      <c r="AB271" s="251"/>
      <c r="AC271" s="287" t="s">
        <v>114</v>
      </c>
      <c r="AD271" s="291"/>
      <c r="AE271" s="288" t="s">
        <v>90</v>
      </c>
      <c r="AF271" s="288"/>
      <c r="AG271" s="288"/>
      <c r="AH271" s="288"/>
      <c r="AI271" s="288"/>
      <c r="AJ271" s="288">
        <f t="shared" si="17"/>
        <v>0</v>
      </c>
      <c r="AK271" s="288"/>
      <c r="AL271" s="289"/>
      <c r="AM271" s="251">
        <f t="shared" si="24"/>
      </c>
      <c r="AN271" s="251" t="str">
        <f t="shared" si="27"/>
        <v>Please answer question 2a.</v>
      </c>
      <c r="AO271" s="290">
        <v>43831</v>
      </c>
      <c r="AP271" s="287" t="str">
        <f t="shared" si="26"/>
        <v>South Korea</v>
      </c>
      <c r="AQ271" s="251" t="str">
        <f ca="1" t="shared" si="28"/>
        <v>To qualify for tax exemption, you must not have a fixed base in Singapore.</v>
      </c>
      <c r="AR271" s="251"/>
      <c r="AS271" s="251"/>
      <c r="AT271" s="251"/>
      <c r="AU271" s="251"/>
      <c r="AV271" s="251"/>
      <c r="AW271" s="251"/>
      <c r="AX271" s="251"/>
      <c r="AY271" s="251"/>
      <c r="AZ271" s="251"/>
      <c r="BA271" s="251"/>
      <c r="BB271" s="251"/>
      <c r="BC271" s="251"/>
      <c r="BD271" s="251"/>
      <c r="BE271" s="251"/>
      <c r="BF271" s="251"/>
      <c r="BG271" s="251"/>
      <c r="BH271" s="251"/>
    </row>
    <row r="272" spans="16:60" ht="16.5">
      <c r="P272" s="251"/>
      <c r="Q272" s="251"/>
      <c r="R272" s="251"/>
      <c r="S272" s="251"/>
      <c r="T272" s="251"/>
      <c r="U272" s="251"/>
      <c r="V272" s="251"/>
      <c r="W272" s="251"/>
      <c r="X272" s="251"/>
      <c r="Y272" s="251"/>
      <c r="Z272" s="251"/>
      <c r="AA272" s="251"/>
      <c r="AB272" s="251"/>
      <c r="AC272" s="287" t="s">
        <v>192</v>
      </c>
      <c r="AD272" s="288"/>
      <c r="AE272" s="288" t="s">
        <v>90</v>
      </c>
      <c r="AF272" s="288"/>
      <c r="AG272" s="288"/>
      <c r="AH272" s="288"/>
      <c r="AI272" s="288"/>
      <c r="AJ272" s="288">
        <f t="shared" si="17"/>
        <v>0</v>
      </c>
      <c r="AK272" s="288"/>
      <c r="AL272" s="289"/>
      <c r="AM272" s="251">
        <f t="shared" si="24"/>
      </c>
      <c r="AN272" s="251" t="str">
        <f t="shared" si="27"/>
        <v>Please answer question 2a.</v>
      </c>
      <c r="AO272" s="290"/>
      <c r="AP272" s="287" t="str">
        <f t="shared" si="26"/>
        <v>Spain</v>
      </c>
      <c r="AQ272" s="251" t="str">
        <f ca="1" t="shared" si="28"/>
        <v>To qualify for tax exemption, you must not have a fixed base in Singapore.</v>
      </c>
      <c r="AR272" s="251"/>
      <c r="AS272" s="251"/>
      <c r="AT272" s="251"/>
      <c r="AU272" s="251"/>
      <c r="AV272" s="251"/>
      <c r="AW272" s="251"/>
      <c r="AX272" s="251"/>
      <c r="AY272" s="251"/>
      <c r="AZ272" s="251"/>
      <c r="BA272" s="251"/>
      <c r="BB272" s="251"/>
      <c r="BC272" s="251"/>
      <c r="BD272" s="251"/>
      <c r="BE272" s="251"/>
      <c r="BF272" s="251"/>
      <c r="BG272" s="251"/>
      <c r="BH272" s="251"/>
    </row>
    <row r="273" spans="2:60" ht="16.5">
      <c r="B273"/>
      <c r="C273" s="226"/>
      <c r="D273" s="226"/>
      <c r="E273" s="226"/>
      <c r="F273" s="226"/>
      <c r="G273" s="226"/>
      <c r="H273" s="226"/>
      <c r="I273" s="226"/>
      <c r="J273" s="226"/>
      <c r="K273" s="226"/>
      <c r="L273" s="226"/>
      <c r="M273" s="226"/>
      <c r="N273" s="226"/>
      <c r="P273" s="251"/>
      <c r="Q273" s="251"/>
      <c r="R273" s="251"/>
      <c r="S273" s="251"/>
      <c r="T273" s="251"/>
      <c r="U273" s="251"/>
      <c r="V273" s="251"/>
      <c r="W273" s="251"/>
      <c r="X273" s="251"/>
      <c r="Y273" s="251"/>
      <c r="Z273" s="251"/>
      <c r="AA273" s="251"/>
      <c r="AB273" s="251"/>
      <c r="AC273" s="287" t="s">
        <v>137</v>
      </c>
      <c r="AD273" s="291"/>
      <c r="AE273" s="288" t="s">
        <v>90</v>
      </c>
      <c r="AF273" s="288"/>
      <c r="AG273" s="288">
        <v>183</v>
      </c>
      <c r="AH273" s="288"/>
      <c r="AI273" s="288"/>
      <c r="AJ273" s="288">
        <f t="shared" si="17"/>
        <v>183</v>
      </c>
      <c r="AK273" s="288"/>
      <c r="AL273" s="289"/>
      <c r="AM273" s="251" t="str">
        <f t="shared" si="24"/>
        <v>Moving</v>
      </c>
      <c r="AN273" s="251" t="str">
        <f t="shared" si="27"/>
        <v>Please answer question 2a and complete section 3.</v>
      </c>
      <c r="AO273" s="290">
        <v>43101</v>
      </c>
      <c r="AP273" s="287" t="str">
        <f t="shared" si="26"/>
        <v>Sri Lanka</v>
      </c>
      <c r="AQ273" s="251" t="str">
        <f ca="1" t="shared" si="28"/>
        <v>To qualify for tax exemption, you must not have a fixed base in Singapore and your physical presence in any 12-month period must not exceed  days.</v>
      </c>
      <c r="AR273" s="251"/>
      <c r="AS273" s="251"/>
      <c r="AT273" s="251"/>
      <c r="AU273" s="251"/>
      <c r="AV273" s="251"/>
      <c r="AW273" s="251"/>
      <c r="AX273" s="251"/>
      <c r="AY273" s="251"/>
      <c r="AZ273" s="251"/>
      <c r="BA273" s="251"/>
      <c r="BB273" s="251"/>
      <c r="BC273" s="251"/>
      <c r="BD273" s="251"/>
      <c r="BE273" s="251"/>
      <c r="BF273" s="251"/>
      <c r="BG273" s="251"/>
      <c r="BH273" s="251"/>
    </row>
    <row r="274" spans="2:60" ht="16.5">
      <c r="B274"/>
      <c r="C274" s="226"/>
      <c r="D274" s="226"/>
      <c r="E274" s="226"/>
      <c r="F274" s="226"/>
      <c r="G274" s="226"/>
      <c r="H274" s="226"/>
      <c r="I274" s="226"/>
      <c r="J274" s="226"/>
      <c r="K274" s="226"/>
      <c r="L274" s="226"/>
      <c r="M274" s="226"/>
      <c r="N274" s="226"/>
      <c r="P274" s="251"/>
      <c r="Q274" s="251"/>
      <c r="R274" s="251"/>
      <c r="S274" s="251"/>
      <c r="T274" s="251"/>
      <c r="U274" s="251"/>
      <c r="V274" s="251"/>
      <c r="W274" s="251"/>
      <c r="X274" s="251"/>
      <c r="Y274" s="251"/>
      <c r="Z274" s="251"/>
      <c r="AA274" s="251"/>
      <c r="AB274" s="251"/>
      <c r="AC274" s="287" t="s">
        <v>138</v>
      </c>
      <c r="AD274" s="291" t="s">
        <v>88</v>
      </c>
      <c r="AE274" s="288"/>
      <c r="AF274" s="288"/>
      <c r="AG274" s="288"/>
      <c r="AH274" s="288"/>
      <c r="AI274" s="288"/>
      <c r="AJ274" s="288">
        <f t="shared" si="17"/>
        <v>0</v>
      </c>
      <c r="AK274" s="288"/>
      <c r="AL274" s="289"/>
      <c r="AM274" s="251">
        <f t="shared" si="24"/>
      </c>
      <c r="AN274" s="251" t="str">
        <f t="shared" si="27"/>
        <v>None - Assume Cost Borne</v>
      </c>
      <c r="AO274" s="290"/>
      <c r="AP274" s="287" t="str">
        <f aca="true" t="shared" si="29" ref="AP274:AP286">AC274</f>
        <v>Sweden</v>
      </c>
      <c r="AQ274" s="251" t="str">
        <f ca="1" t="shared" si="28"/>
        <v>You do not qualify for tax exemption as your income is borne/paid by a Singapore entity.</v>
      </c>
      <c r="AR274" s="251"/>
      <c r="AS274" s="251"/>
      <c r="AT274" s="251"/>
      <c r="AU274" s="251"/>
      <c r="AV274" s="251"/>
      <c r="AW274" s="251"/>
      <c r="AX274" s="251"/>
      <c r="AY274" s="251"/>
      <c r="AZ274" s="251"/>
      <c r="BA274" s="251"/>
      <c r="BB274" s="251"/>
      <c r="BC274" s="251"/>
      <c r="BD274" s="251"/>
      <c r="BE274" s="251"/>
      <c r="BF274" s="251"/>
      <c r="BG274" s="251"/>
      <c r="BH274" s="251"/>
    </row>
    <row r="275" spans="2:60" ht="16.5">
      <c r="B275"/>
      <c r="C275" s="226"/>
      <c r="D275" s="226"/>
      <c r="E275" s="226"/>
      <c r="F275" s="226"/>
      <c r="G275" s="226"/>
      <c r="H275" s="226"/>
      <c r="I275" s="226"/>
      <c r="J275" s="226"/>
      <c r="K275" s="226"/>
      <c r="L275" s="226"/>
      <c r="M275" s="226"/>
      <c r="N275" s="226"/>
      <c r="P275" s="251"/>
      <c r="Q275" s="251"/>
      <c r="R275" s="251"/>
      <c r="S275" s="251"/>
      <c r="T275" s="251"/>
      <c r="U275" s="251"/>
      <c r="V275" s="251"/>
      <c r="W275" s="251"/>
      <c r="X275" s="251"/>
      <c r="Y275" s="251"/>
      <c r="Z275" s="251"/>
      <c r="AA275" s="251"/>
      <c r="AB275" s="251"/>
      <c r="AC275" s="287" t="s">
        <v>139</v>
      </c>
      <c r="AD275" s="288"/>
      <c r="AE275" s="288" t="s">
        <v>90</v>
      </c>
      <c r="AF275" s="288"/>
      <c r="AG275" s="288">
        <v>300</v>
      </c>
      <c r="AH275" s="288"/>
      <c r="AI275" s="288"/>
      <c r="AJ275" s="288">
        <f t="shared" si="17"/>
        <v>300</v>
      </c>
      <c r="AK275" s="288"/>
      <c r="AL275" s="289"/>
      <c r="AM275" s="251" t="str">
        <f t="shared" si="24"/>
        <v>Moving</v>
      </c>
      <c r="AN275" s="251" t="str">
        <f t="shared" si="27"/>
        <v>Please answer question 2a and complete section 3.</v>
      </c>
      <c r="AO275" s="290"/>
      <c r="AP275" s="287" t="str">
        <f t="shared" si="29"/>
        <v>Switzerland</v>
      </c>
      <c r="AQ275" s="251" t="str">
        <f ca="1" t="shared" si="28"/>
        <v>To qualify for tax exemption, you must not have a fixed base in Singapore and your physical presence in any 12-month period must not exceed  days.</v>
      </c>
      <c r="AR275" s="251"/>
      <c r="AS275" s="251"/>
      <c r="AT275" s="251"/>
      <c r="AU275" s="251"/>
      <c r="AV275" s="251"/>
      <c r="AW275" s="251"/>
      <c r="AX275" s="251"/>
      <c r="AY275" s="251"/>
      <c r="AZ275" s="251"/>
      <c r="BA275" s="251"/>
      <c r="BB275" s="251"/>
      <c r="BC275" s="251"/>
      <c r="BD275" s="251"/>
      <c r="BE275" s="251"/>
      <c r="BF275" s="251"/>
      <c r="BG275" s="251"/>
      <c r="BH275" s="251"/>
    </row>
    <row r="276" spans="2:60" ht="16.5">
      <c r="B276"/>
      <c r="C276" s="226"/>
      <c r="D276" s="226"/>
      <c r="E276" s="226"/>
      <c r="F276" s="226"/>
      <c r="G276" s="226"/>
      <c r="H276" s="226"/>
      <c r="I276" s="226"/>
      <c r="J276" s="226"/>
      <c r="K276" s="226"/>
      <c r="L276" s="226"/>
      <c r="M276" s="226"/>
      <c r="N276" s="226"/>
      <c r="P276" s="251"/>
      <c r="Q276" s="251"/>
      <c r="R276" s="251"/>
      <c r="S276" s="251"/>
      <c r="T276" s="251"/>
      <c r="U276" s="251"/>
      <c r="V276" s="251"/>
      <c r="W276" s="251"/>
      <c r="X276" s="251"/>
      <c r="Y276" s="251"/>
      <c r="Z276" s="251"/>
      <c r="AA276" s="251"/>
      <c r="AB276" s="251"/>
      <c r="AC276" s="287" t="s">
        <v>140</v>
      </c>
      <c r="AD276" s="291" t="s">
        <v>88</v>
      </c>
      <c r="AE276" s="288"/>
      <c r="AF276" s="288"/>
      <c r="AG276" s="288"/>
      <c r="AH276" s="288"/>
      <c r="AI276" s="288"/>
      <c r="AJ276" s="288">
        <f t="shared" si="17"/>
        <v>0</v>
      </c>
      <c r="AK276" s="288"/>
      <c r="AL276" s="289"/>
      <c r="AM276" s="251">
        <f t="shared" si="24"/>
      </c>
      <c r="AN276" s="251" t="str">
        <f t="shared" si="27"/>
        <v>None - Assume Cost Borne</v>
      </c>
      <c r="AO276" s="290"/>
      <c r="AP276" s="287" t="str">
        <f t="shared" si="29"/>
        <v>Taiwan</v>
      </c>
      <c r="AQ276" s="251" t="str">
        <f ca="1" t="shared" si="28"/>
        <v>You do not qualify for tax exemption as your income is borne/paid by a Singapore entity.</v>
      </c>
      <c r="AR276" s="251"/>
      <c r="AS276" s="251"/>
      <c r="AT276" s="251"/>
      <c r="AU276" s="251"/>
      <c r="AV276" s="251"/>
      <c r="AW276" s="251"/>
      <c r="AX276" s="251"/>
      <c r="AY276" s="251"/>
      <c r="AZ276" s="251"/>
      <c r="BA276" s="251"/>
      <c r="BB276" s="251"/>
      <c r="BC276" s="251"/>
      <c r="BD276" s="251"/>
      <c r="BE276" s="251"/>
      <c r="BF276" s="251"/>
      <c r="BG276" s="251"/>
      <c r="BH276" s="251"/>
    </row>
    <row r="277" spans="2:60" ht="16.5">
      <c r="B277"/>
      <c r="C277" s="226"/>
      <c r="D277" s="226"/>
      <c r="E277" s="226"/>
      <c r="F277" s="226"/>
      <c r="G277" s="226"/>
      <c r="H277" s="226"/>
      <c r="I277" s="226"/>
      <c r="J277" s="226"/>
      <c r="K277" s="226"/>
      <c r="L277" s="226"/>
      <c r="M277" s="226"/>
      <c r="N277" s="226"/>
      <c r="P277" s="251"/>
      <c r="Q277" s="251"/>
      <c r="R277" s="251"/>
      <c r="S277" s="251"/>
      <c r="T277" s="251"/>
      <c r="U277" s="251"/>
      <c r="V277" s="251"/>
      <c r="W277" s="251"/>
      <c r="X277" s="251"/>
      <c r="Y277" s="251"/>
      <c r="Z277" s="251"/>
      <c r="AA277" s="251"/>
      <c r="AB277" s="251"/>
      <c r="AC277" s="287" t="s">
        <v>141</v>
      </c>
      <c r="AD277" s="291"/>
      <c r="AE277" s="288" t="s">
        <v>90</v>
      </c>
      <c r="AF277" s="288"/>
      <c r="AG277" s="288">
        <v>182</v>
      </c>
      <c r="AH277" s="288"/>
      <c r="AI277" s="288"/>
      <c r="AJ277" s="288">
        <f t="shared" si="17"/>
        <v>182</v>
      </c>
      <c r="AK277" s="288"/>
      <c r="AL277" s="289"/>
      <c r="AM277" s="251" t="str">
        <f t="shared" si="24"/>
        <v>Moving</v>
      </c>
      <c r="AN277" s="251" t="str">
        <f t="shared" si="27"/>
        <v>Please answer question 2a and complete section 3.</v>
      </c>
      <c r="AO277" s="290">
        <v>42736</v>
      </c>
      <c r="AP277" s="287" t="str">
        <f t="shared" si="29"/>
        <v>Thailand</v>
      </c>
      <c r="AQ277" s="251" t="str">
        <f ca="1" t="shared" si="28"/>
        <v>To qualify for tax exemption, you must not have a fixed base in Singapore and your physical presence in any 12-month period must not exceed  days.</v>
      </c>
      <c r="AR277" s="251"/>
      <c r="AS277" s="251"/>
      <c r="AT277" s="251"/>
      <c r="AU277" s="251"/>
      <c r="AV277" s="251"/>
      <c r="AW277" s="251"/>
      <c r="AX277" s="251"/>
      <c r="AY277" s="251"/>
      <c r="AZ277" s="251"/>
      <c r="BA277" s="251"/>
      <c r="BB277" s="251"/>
      <c r="BC277" s="251"/>
      <c r="BD277" s="251"/>
      <c r="BE277" s="251"/>
      <c r="BF277" s="251"/>
      <c r="BG277" s="251"/>
      <c r="BH277" s="251"/>
    </row>
    <row r="278" spans="2:60" ht="16.5">
      <c r="B278"/>
      <c r="C278" s="226"/>
      <c r="D278" s="226"/>
      <c r="E278" s="226"/>
      <c r="F278" s="226"/>
      <c r="G278" s="226"/>
      <c r="H278" s="226"/>
      <c r="I278" s="226"/>
      <c r="J278" s="226"/>
      <c r="K278" s="226"/>
      <c r="L278" s="226"/>
      <c r="M278" s="226"/>
      <c r="N278" s="226"/>
      <c r="P278" s="251"/>
      <c r="Q278" s="251"/>
      <c r="R278" s="251"/>
      <c r="S278" s="251"/>
      <c r="T278" s="251"/>
      <c r="U278" s="251"/>
      <c r="V278" s="251"/>
      <c r="W278" s="251"/>
      <c r="X278" s="251"/>
      <c r="Y278" s="251"/>
      <c r="Z278" s="251"/>
      <c r="AA278" s="251"/>
      <c r="AB278" s="251"/>
      <c r="AC278" s="287" t="s">
        <v>301</v>
      </c>
      <c r="AD278" s="291"/>
      <c r="AE278" s="288" t="s">
        <v>90</v>
      </c>
      <c r="AF278" s="288"/>
      <c r="AG278" s="288">
        <v>182</v>
      </c>
      <c r="AH278" s="288"/>
      <c r="AI278" s="288"/>
      <c r="AJ278" s="288">
        <f t="shared" si="17"/>
        <v>182</v>
      </c>
      <c r="AK278" s="288"/>
      <c r="AL278" s="289"/>
      <c r="AM278" s="251" t="str">
        <f t="shared" si="24"/>
        <v>Moving</v>
      </c>
      <c r="AN278" s="251" t="str">
        <f t="shared" si="27"/>
        <v>Please answer question 2a and complete section 3.</v>
      </c>
      <c r="AO278" s="290">
        <v>43831</v>
      </c>
      <c r="AP278" s="287" t="str">
        <f t="shared" si="29"/>
        <v>Tunisia</v>
      </c>
      <c r="AQ278" s="251" t="str">
        <f ca="1" t="shared" si="28"/>
        <v>To qualify for tax exemption, you must not have a fixed base in Singapore and your physical presence in any 12-month period must not exceed  days.</v>
      </c>
      <c r="AR278" s="251"/>
      <c r="AS278" s="251"/>
      <c r="AT278" s="251"/>
      <c r="AU278" s="251"/>
      <c r="AV278" s="251"/>
      <c r="AW278" s="251"/>
      <c r="AX278" s="251"/>
      <c r="AY278" s="251"/>
      <c r="AZ278" s="251"/>
      <c r="BA278" s="251"/>
      <c r="BB278" s="251"/>
      <c r="BC278" s="251"/>
      <c r="BD278" s="251"/>
      <c r="BE278" s="251"/>
      <c r="BF278" s="251"/>
      <c r="BG278" s="251"/>
      <c r="BH278" s="251"/>
    </row>
    <row r="279" spans="2:60" ht="16.5">
      <c r="B279"/>
      <c r="C279" s="226"/>
      <c r="D279" s="226"/>
      <c r="E279" s="226"/>
      <c r="F279" s="226"/>
      <c r="G279" s="226"/>
      <c r="H279" s="226"/>
      <c r="I279" s="226"/>
      <c r="J279" s="226"/>
      <c r="K279" s="226"/>
      <c r="L279" s="226"/>
      <c r="M279" s="226"/>
      <c r="N279" s="226"/>
      <c r="P279" s="251"/>
      <c r="Q279" s="251"/>
      <c r="R279" s="251"/>
      <c r="S279" s="251"/>
      <c r="T279" s="251"/>
      <c r="U279" s="251"/>
      <c r="V279" s="251"/>
      <c r="W279" s="251"/>
      <c r="X279" s="251"/>
      <c r="Y279" s="251"/>
      <c r="Z279" s="251"/>
      <c r="AA279" s="251"/>
      <c r="AB279" s="251"/>
      <c r="AC279" s="287" t="s">
        <v>142</v>
      </c>
      <c r="AD279" s="288"/>
      <c r="AE279" s="288" t="s">
        <v>90</v>
      </c>
      <c r="AF279" s="288">
        <f>183-1</f>
        <v>182</v>
      </c>
      <c r="AG279" s="288"/>
      <c r="AH279" s="288"/>
      <c r="AI279" s="288"/>
      <c r="AJ279" s="288">
        <f aca="true" t="shared" si="30" ref="AJ279:AJ286">SUM(AF279:AI279)</f>
        <v>182</v>
      </c>
      <c r="AK279" s="288"/>
      <c r="AL279" s="289"/>
      <c r="AM279" s="251" t="str">
        <f t="shared" si="24"/>
        <v>Calendar</v>
      </c>
      <c r="AN279" s="251" t="str">
        <f t="shared" si="27"/>
        <v>Please answer question 2a and complete section 3.</v>
      </c>
      <c r="AO279" s="290"/>
      <c r="AP279" s="287" t="str">
        <f t="shared" si="29"/>
        <v>Turkey</v>
      </c>
      <c r="AQ279" s="251" t="str">
        <f ca="1" t="shared" si="28"/>
        <v>To qualify for tax exemption, you must not have a fixed base in Singapore and your physical presence in any 12-month period must not exceed  days.</v>
      </c>
      <c r="AR279" s="251"/>
      <c r="AS279" s="251"/>
      <c r="AT279" s="251"/>
      <c r="AU279" s="251"/>
      <c r="AV279" s="251"/>
      <c r="AW279" s="251"/>
      <c r="AX279" s="251"/>
      <c r="AY279" s="251"/>
      <c r="AZ279" s="251"/>
      <c r="BA279" s="251"/>
      <c r="BB279" s="251"/>
      <c r="BC279" s="251"/>
      <c r="BD279" s="251"/>
      <c r="BE279" s="251"/>
      <c r="BF279" s="251"/>
      <c r="BG279" s="251"/>
      <c r="BH279" s="251"/>
    </row>
    <row r="280" spans="2:60" ht="16.5">
      <c r="B280"/>
      <c r="C280" s="226"/>
      <c r="D280" s="226"/>
      <c r="E280" s="226"/>
      <c r="F280" s="226"/>
      <c r="G280" s="226"/>
      <c r="H280" s="226"/>
      <c r="I280" s="226"/>
      <c r="J280" s="226"/>
      <c r="K280" s="226"/>
      <c r="L280" s="226"/>
      <c r="M280" s="226"/>
      <c r="N280" s="226"/>
      <c r="P280" s="251"/>
      <c r="Q280" s="251"/>
      <c r="R280" s="251"/>
      <c r="S280" s="251"/>
      <c r="T280" s="251"/>
      <c r="U280" s="251"/>
      <c r="V280" s="251"/>
      <c r="W280" s="251"/>
      <c r="X280" s="251"/>
      <c r="Y280" s="251"/>
      <c r="Z280" s="251"/>
      <c r="AA280" s="251"/>
      <c r="AB280" s="251"/>
      <c r="AC280" s="287" t="s">
        <v>311</v>
      </c>
      <c r="AD280" s="288"/>
      <c r="AE280" s="288" t="s">
        <v>90</v>
      </c>
      <c r="AF280" s="288"/>
      <c r="AG280" s="288">
        <v>183</v>
      </c>
      <c r="AH280" s="288"/>
      <c r="AI280" s="288"/>
      <c r="AJ280" s="288">
        <f t="shared" si="30"/>
        <v>183</v>
      </c>
      <c r="AK280" s="288"/>
      <c r="AL280" s="289"/>
      <c r="AM280" s="251" t="s">
        <v>62</v>
      </c>
      <c r="AN280" s="251" t="str">
        <f t="shared" si="27"/>
        <v>Please answer question 2a and complete section 3.</v>
      </c>
      <c r="AO280" s="290">
        <v>44197</v>
      </c>
      <c r="AP280" s="287" t="str">
        <f t="shared" si="29"/>
        <v>Turkmenistan</v>
      </c>
      <c r="AQ280" s="251" t="str">
        <f ca="1" t="shared" si="28"/>
        <v>To qualify for tax exemption, you must not have a fixed base in Singapore and your physical presence in any 12-month period must not exceed  days.</v>
      </c>
      <c r="AR280" s="251"/>
      <c r="AS280" s="251"/>
      <c r="AT280" s="251"/>
      <c r="AU280" s="251"/>
      <c r="AV280" s="251"/>
      <c r="AW280" s="251"/>
      <c r="AX280" s="251"/>
      <c r="AY280" s="251"/>
      <c r="AZ280" s="251"/>
      <c r="BA280" s="251"/>
      <c r="BB280" s="251"/>
      <c r="BC280" s="251"/>
      <c r="BD280" s="251"/>
      <c r="BE280" s="251"/>
      <c r="BF280" s="251"/>
      <c r="BG280" s="251"/>
      <c r="BH280" s="251"/>
    </row>
    <row r="281" spans="2:60" ht="16.5">
      <c r="B281"/>
      <c r="C281" s="226"/>
      <c r="D281" s="226"/>
      <c r="E281" s="226"/>
      <c r="F281" s="226"/>
      <c r="G281" s="226"/>
      <c r="H281" s="226"/>
      <c r="I281" s="226"/>
      <c r="J281" s="226"/>
      <c r="K281" s="226"/>
      <c r="L281" s="226"/>
      <c r="M281" s="226"/>
      <c r="N281" s="226"/>
      <c r="P281" s="251"/>
      <c r="Q281" s="251"/>
      <c r="R281" s="251"/>
      <c r="S281" s="251"/>
      <c r="T281" s="251"/>
      <c r="U281" s="251"/>
      <c r="V281" s="251"/>
      <c r="W281" s="251"/>
      <c r="X281" s="251"/>
      <c r="Y281" s="251"/>
      <c r="Z281" s="251"/>
      <c r="AA281" s="251"/>
      <c r="AB281" s="251"/>
      <c r="AC281" s="287" t="s">
        <v>143</v>
      </c>
      <c r="AD281" s="288"/>
      <c r="AE281" s="288" t="s">
        <v>90</v>
      </c>
      <c r="AF281" s="288"/>
      <c r="AG281" s="288">
        <v>183</v>
      </c>
      <c r="AH281" s="288"/>
      <c r="AI281" s="288"/>
      <c r="AJ281" s="288">
        <f t="shared" si="30"/>
        <v>183</v>
      </c>
      <c r="AK281" s="288"/>
      <c r="AL281" s="289"/>
      <c r="AM281" s="251" t="str">
        <f t="shared" si="24"/>
        <v>Moving</v>
      </c>
      <c r="AN281" s="251" t="str">
        <f t="shared" si="27"/>
        <v>Please answer question 2a and complete section 3.</v>
      </c>
      <c r="AO281" s="290"/>
      <c r="AP281" s="287" t="str">
        <f t="shared" si="29"/>
        <v>Ukraine</v>
      </c>
      <c r="AQ281" s="251" t="str">
        <f ca="1" t="shared" si="28"/>
        <v>To qualify for tax exemption, you must not have a fixed base in Singapore and your physical presence in any 12-month period must not exceed  days.</v>
      </c>
      <c r="AR281" s="251"/>
      <c r="AS281" s="251"/>
      <c r="AT281" s="251"/>
      <c r="AU281" s="251"/>
      <c r="AV281" s="251"/>
      <c r="AW281" s="251"/>
      <c r="AX281" s="251"/>
      <c r="AY281" s="251"/>
      <c r="AZ281" s="251"/>
      <c r="BA281" s="251"/>
      <c r="BB281" s="251"/>
      <c r="BC281" s="251"/>
      <c r="BD281" s="251"/>
      <c r="BE281" s="251"/>
      <c r="BF281" s="251"/>
      <c r="BG281" s="251"/>
      <c r="BH281" s="251"/>
    </row>
    <row r="282" spans="2:60" ht="22.5">
      <c r="B282"/>
      <c r="C282" s="226"/>
      <c r="D282" s="226"/>
      <c r="E282" s="226"/>
      <c r="F282" s="226"/>
      <c r="G282" s="226"/>
      <c r="H282" s="226"/>
      <c r="I282" s="226"/>
      <c r="J282" s="226"/>
      <c r="K282" s="226"/>
      <c r="L282" s="226"/>
      <c r="M282" s="226"/>
      <c r="N282" s="226"/>
      <c r="P282" s="251"/>
      <c r="Q282" s="251"/>
      <c r="R282" s="251"/>
      <c r="S282" s="251"/>
      <c r="T282" s="251"/>
      <c r="U282" s="251"/>
      <c r="V282" s="251"/>
      <c r="W282" s="251"/>
      <c r="X282" s="251"/>
      <c r="Y282" s="251"/>
      <c r="Z282" s="251"/>
      <c r="AA282" s="251"/>
      <c r="AB282" s="251"/>
      <c r="AC282" s="287" t="s">
        <v>144</v>
      </c>
      <c r="AD282" s="288"/>
      <c r="AE282" s="288" t="s">
        <v>90</v>
      </c>
      <c r="AF282" s="288">
        <v>300</v>
      </c>
      <c r="AG282" s="288"/>
      <c r="AH282" s="288"/>
      <c r="AI282" s="288"/>
      <c r="AJ282" s="288">
        <f t="shared" si="30"/>
        <v>300</v>
      </c>
      <c r="AK282" s="288"/>
      <c r="AL282" s="289"/>
      <c r="AM282" s="251" t="str">
        <f t="shared" si="24"/>
        <v>Calendar</v>
      </c>
      <c r="AN282" s="251" t="str">
        <f t="shared" si="27"/>
        <v>Please answer question 2a and complete section 3.</v>
      </c>
      <c r="AO282" s="290"/>
      <c r="AP282" s="287" t="str">
        <f t="shared" si="29"/>
        <v>United Arab Emirates</v>
      </c>
      <c r="AQ282" s="251" t="str">
        <f ca="1" t="shared" si="28"/>
        <v>To qualify for tax exemption, you must not have a fixed base in Singapore and your physical presence in any 12-month period must not exceed  days.</v>
      </c>
      <c r="AR282" s="251"/>
      <c r="AS282" s="251"/>
      <c r="AT282" s="251"/>
      <c r="AU282" s="251"/>
      <c r="AV282" s="251"/>
      <c r="AW282" s="251"/>
      <c r="AX282" s="251"/>
      <c r="AY282" s="251"/>
      <c r="AZ282" s="251"/>
      <c r="BA282" s="251"/>
      <c r="BB282" s="251"/>
      <c r="BC282" s="251"/>
      <c r="BD282" s="251"/>
      <c r="BE282" s="251"/>
      <c r="BF282" s="251"/>
      <c r="BG282" s="251"/>
      <c r="BH282" s="251"/>
    </row>
    <row r="283" spans="2:60" ht="16.5">
      <c r="B283"/>
      <c r="C283" s="226"/>
      <c r="D283" s="226"/>
      <c r="E283" s="226"/>
      <c r="F283" s="226"/>
      <c r="G283" s="226"/>
      <c r="H283" s="226"/>
      <c r="I283" s="226"/>
      <c r="J283" s="226"/>
      <c r="K283" s="226"/>
      <c r="L283" s="226"/>
      <c r="M283" s="226"/>
      <c r="N283" s="226"/>
      <c r="P283" s="251"/>
      <c r="Q283" s="251"/>
      <c r="R283" s="251"/>
      <c r="S283" s="251"/>
      <c r="T283" s="251"/>
      <c r="U283" s="251"/>
      <c r="V283" s="251"/>
      <c r="W283" s="251"/>
      <c r="X283" s="251"/>
      <c r="Y283" s="251"/>
      <c r="Z283" s="251"/>
      <c r="AA283" s="251"/>
      <c r="AB283" s="251"/>
      <c r="AC283" s="287" t="s">
        <v>145</v>
      </c>
      <c r="AD283" s="288"/>
      <c r="AE283" s="288" t="s">
        <v>90</v>
      </c>
      <c r="AF283" s="288"/>
      <c r="AG283" s="288"/>
      <c r="AH283" s="288"/>
      <c r="AI283" s="288"/>
      <c r="AJ283" s="288">
        <f t="shared" si="30"/>
        <v>0</v>
      </c>
      <c r="AK283" s="288"/>
      <c r="AL283" s="289"/>
      <c r="AM283" s="251">
        <f t="shared" si="24"/>
      </c>
      <c r="AN283" s="251" t="str">
        <f t="shared" si="27"/>
        <v>Please answer question 2a.</v>
      </c>
      <c r="AO283" s="290"/>
      <c r="AP283" s="287" t="str">
        <f t="shared" si="29"/>
        <v>United Kingdom</v>
      </c>
      <c r="AQ283" s="251" t="str">
        <f ca="1" t="shared" si="28"/>
        <v>To qualify for tax exemption, you must not have a fixed base in Singapore.</v>
      </c>
      <c r="AR283" s="251"/>
      <c r="AS283" s="251"/>
      <c r="AT283" s="251"/>
      <c r="AU283" s="251"/>
      <c r="AV283" s="251"/>
      <c r="AW283" s="251"/>
      <c r="AX283" s="251"/>
      <c r="AY283" s="251"/>
      <c r="AZ283" s="251"/>
      <c r="BA283" s="251"/>
      <c r="BB283" s="251"/>
      <c r="BC283" s="251"/>
      <c r="BD283" s="251"/>
      <c r="BE283" s="251"/>
      <c r="BF283" s="251"/>
      <c r="BG283" s="251"/>
      <c r="BH283" s="251"/>
    </row>
    <row r="284" spans="2:60" ht="22.5">
      <c r="B284"/>
      <c r="C284" s="226"/>
      <c r="D284" s="226"/>
      <c r="E284" s="226"/>
      <c r="F284" s="226"/>
      <c r="G284" s="226"/>
      <c r="H284" s="226"/>
      <c r="I284" s="226"/>
      <c r="J284" s="226"/>
      <c r="K284" s="226"/>
      <c r="L284" s="226"/>
      <c r="M284" s="226"/>
      <c r="N284" s="226"/>
      <c r="P284" s="251"/>
      <c r="Q284" s="251"/>
      <c r="R284" s="251"/>
      <c r="S284" s="251"/>
      <c r="T284" s="251"/>
      <c r="U284" s="251"/>
      <c r="V284" s="251"/>
      <c r="W284" s="251"/>
      <c r="X284" s="251"/>
      <c r="Y284" s="251"/>
      <c r="Z284" s="251"/>
      <c r="AA284" s="251"/>
      <c r="AB284" s="251"/>
      <c r="AC284" s="287" t="s">
        <v>146</v>
      </c>
      <c r="AD284" s="288"/>
      <c r="AE284" s="288"/>
      <c r="AF284" s="288"/>
      <c r="AG284" s="288"/>
      <c r="AH284" s="288"/>
      <c r="AI284" s="288"/>
      <c r="AJ284" s="288"/>
      <c r="AK284" s="288"/>
      <c r="AL284" s="289"/>
      <c r="AM284" s="251"/>
      <c r="AN284" s="251" t="str">
        <f t="shared" si="27"/>
        <v>None - Limited Treaty</v>
      </c>
      <c r="AO284" s="290"/>
      <c r="AP284" s="287" t="str">
        <f t="shared" si="29"/>
        <v>United States of America</v>
      </c>
      <c r="AQ284" s="251" t="str">
        <f ca="1" t="shared" si="28"/>
        <v>The current limited tax treaty does not provide for tax exemption for the services rendered by non-resident professionals. Please see result below.</v>
      </c>
      <c r="AR284" s="251"/>
      <c r="AS284" s="251"/>
      <c r="AT284" s="251"/>
      <c r="AU284" s="251"/>
      <c r="AV284" s="251"/>
      <c r="AW284" s="251"/>
      <c r="AX284" s="251"/>
      <c r="AY284" s="251"/>
      <c r="AZ284" s="251"/>
      <c r="BA284" s="251"/>
      <c r="BB284" s="251"/>
      <c r="BC284" s="251"/>
      <c r="BD284" s="251"/>
      <c r="BE284" s="251"/>
      <c r="BF284" s="251"/>
      <c r="BG284" s="251"/>
      <c r="BH284" s="251"/>
    </row>
    <row r="285" spans="2:60" ht="16.5">
      <c r="B285"/>
      <c r="C285" s="226"/>
      <c r="D285" s="226"/>
      <c r="E285" s="226"/>
      <c r="F285" s="226"/>
      <c r="G285" s="226"/>
      <c r="H285" s="226"/>
      <c r="I285" s="226"/>
      <c r="J285" s="226"/>
      <c r="K285" s="226"/>
      <c r="L285" s="226"/>
      <c r="M285" s="226"/>
      <c r="N285" s="226"/>
      <c r="P285" s="251"/>
      <c r="Q285" s="251"/>
      <c r="R285" s="251"/>
      <c r="S285" s="251"/>
      <c r="T285" s="251"/>
      <c r="U285" s="251"/>
      <c r="V285" s="251"/>
      <c r="W285" s="251"/>
      <c r="X285" s="251"/>
      <c r="Y285" s="251"/>
      <c r="Z285" s="251"/>
      <c r="AA285" s="251"/>
      <c r="AB285" s="251"/>
      <c r="AC285" s="287" t="s">
        <v>267</v>
      </c>
      <c r="AD285" s="288"/>
      <c r="AE285" s="288" t="s">
        <v>90</v>
      </c>
      <c r="AF285" s="288"/>
      <c r="AG285" s="288">
        <v>183</v>
      </c>
      <c r="AH285" s="288"/>
      <c r="AI285" s="288"/>
      <c r="AJ285" s="288">
        <f t="shared" si="30"/>
        <v>183</v>
      </c>
      <c r="AK285" s="288"/>
      <c r="AL285" s="289"/>
      <c r="AM285" s="251" t="str">
        <f>IF(OR(ISBLANK(AF285)=FALSE,ISBLANK(AK285)=FALSE)=TRUE,"Calendar",IF(OR(ISBLANK(AG285)=FALSE,ISBLANK(AH285)=FALSE,ISBLANK(AI285)=FALSE)=TRUE,"Moving",""))</f>
        <v>Moving</v>
      </c>
      <c r="AN285" s="251" t="str">
        <f>IF(ISBLANK(AK285)=FALSE,$AC$152,IF(ISBLANK(AH285)=FALSE,$AC$153,IF(OR(ISBLANK(AG285)=FALSE,ISBLANK(AF285)=FALSE,ISBLANK(AI285)=FALSE)=TRUE,$AC$151,IF(ISBLANK(AE285)=FALSE,$AC$150,IF(ISBLANK(AD285)=FALSE,$AC$149,$AC$154)))))</f>
        <v>Please answer question 2a and complete section 3.</v>
      </c>
      <c r="AO285" s="290">
        <v>43101</v>
      </c>
      <c r="AP285" s="287" t="str">
        <f t="shared" si="29"/>
        <v>Uruguay</v>
      </c>
      <c r="AQ285" s="251" t="str">
        <f ca="1" t="shared" si="28"/>
        <v>To qualify for tax exemption, you must not have a fixed base in Singapore and your physical presence in any 12-month period must not exceed  days.</v>
      </c>
      <c r="AR285" s="251"/>
      <c r="AS285" s="251"/>
      <c r="AT285" s="251"/>
      <c r="AU285" s="251"/>
      <c r="AV285" s="251"/>
      <c r="AW285" s="251"/>
      <c r="AX285" s="251"/>
      <c r="AY285" s="251"/>
      <c r="AZ285" s="251"/>
      <c r="BA285" s="251"/>
      <c r="BB285" s="251"/>
      <c r="BC285" s="251"/>
      <c r="BD285" s="251"/>
      <c r="BE285" s="251"/>
      <c r="BF285" s="251"/>
      <c r="BG285" s="251"/>
      <c r="BH285" s="251"/>
    </row>
    <row r="286" spans="2:60" ht="16.5">
      <c r="B286"/>
      <c r="C286" s="226"/>
      <c r="D286" s="226"/>
      <c r="E286" s="226"/>
      <c r="F286" s="226"/>
      <c r="G286" s="226"/>
      <c r="H286" s="226"/>
      <c r="I286" s="226"/>
      <c r="J286" s="226"/>
      <c r="K286" s="226"/>
      <c r="L286" s="226"/>
      <c r="M286" s="226"/>
      <c r="N286" s="226"/>
      <c r="P286" s="251"/>
      <c r="Q286" s="251"/>
      <c r="R286" s="251"/>
      <c r="S286" s="251"/>
      <c r="T286" s="251"/>
      <c r="U286" s="251"/>
      <c r="V286" s="251"/>
      <c r="W286" s="251"/>
      <c r="X286" s="251"/>
      <c r="Y286" s="251"/>
      <c r="Z286" s="251"/>
      <c r="AA286" s="251"/>
      <c r="AB286" s="251"/>
      <c r="AC286" s="287" t="s">
        <v>147</v>
      </c>
      <c r="AD286" s="288"/>
      <c r="AE286" s="288" t="s">
        <v>90</v>
      </c>
      <c r="AF286" s="288"/>
      <c r="AG286" s="288">
        <v>183</v>
      </c>
      <c r="AH286" s="288"/>
      <c r="AI286" s="288"/>
      <c r="AJ286" s="288">
        <f t="shared" si="30"/>
        <v>183</v>
      </c>
      <c r="AK286" s="288"/>
      <c r="AL286" s="289"/>
      <c r="AM286" s="251" t="str">
        <f>IF(OR(ISBLANK(AF286)=FALSE,ISBLANK(AK286)=FALSE)=TRUE,"Calendar",IF(OR(ISBLANK(AG286)=FALSE,ISBLANK(AH286)=FALSE,ISBLANK(AI286)=FALSE)=TRUE,"Moving",""))</f>
        <v>Moving</v>
      </c>
      <c r="AN286" s="251" t="str">
        <f>IF(ISBLANK(AK286)=FALSE,$AC$152,IF(ISBLANK(AH286)=FALSE,$AC$153,IF(OR(ISBLANK(AG286)=FALSE,ISBLANK(AF286)=FALSE,ISBLANK(AI286)=FALSE)=TRUE,$AC$151,IF(ISBLANK(AE286)=FALSE,$AC$150,IF(ISBLANK(AD286)=FALSE,$AC$149,$AC$154)))))</f>
        <v>Please answer question 2a and complete section 3.</v>
      </c>
      <c r="AO286" s="290"/>
      <c r="AP286" s="287" t="str">
        <f t="shared" si="29"/>
        <v>Uzbekistan</v>
      </c>
      <c r="AQ286" s="251" t="str">
        <f ca="1" t="shared" si="28"/>
        <v>To qualify for tax exemption, you must not have a fixed base in Singapore and your physical presence in any 12-month period must not exceed  days.</v>
      </c>
      <c r="AR286" s="251"/>
      <c r="AS286" s="251"/>
      <c r="AT286" s="251"/>
      <c r="AU286" s="251"/>
      <c r="AV286" s="251"/>
      <c r="AW286" s="251"/>
      <c r="AX286" s="251"/>
      <c r="AY286" s="251"/>
      <c r="AZ286" s="251"/>
      <c r="BA286" s="251"/>
      <c r="BB286" s="251"/>
      <c r="BC286" s="251"/>
      <c r="BD286" s="251"/>
      <c r="BE286" s="251"/>
      <c r="BF286" s="251"/>
      <c r="BG286" s="251"/>
      <c r="BH286" s="251"/>
    </row>
    <row r="287" spans="2:60" ht="16.5">
      <c r="B287"/>
      <c r="C287" s="226"/>
      <c r="D287" s="226"/>
      <c r="E287" s="226"/>
      <c r="F287" s="226"/>
      <c r="G287" s="226"/>
      <c r="H287" s="226"/>
      <c r="I287" s="226"/>
      <c r="J287" s="226"/>
      <c r="K287" s="226"/>
      <c r="L287" s="226"/>
      <c r="M287" s="226"/>
      <c r="N287" s="226"/>
      <c r="P287" s="251"/>
      <c r="Q287" s="251"/>
      <c r="R287" s="251"/>
      <c r="S287" s="251"/>
      <c r="T287" s="251"/>
      <c r="U287" s="251"/>
      <c r="V287" s="251"/>
      <c r="W287" s="251"/>
      <c r="X287" s="251"/>
      <c r="Y287" s="251"/>
      <c r="Z287" s="251"/>
      <c r="AA287" s="251"/>
      <c r="AB287" s="251"/>
      <c r="AC287" s="287" t="s">
        <v>148</v>
      </c>
      <c r="AD287" s="288"/>
      <c r="AE287" s="288" t="s">
        <v>90</v>
      </c>
      <c r="AF287" s="288"/>
      <c r="AG287" s="288">
        <v>183</v>
      </c>
      <c r="AH287" s="288"/>
      <c r="AI287" s="288"/>
      <c r="AJ287" s="288">
        <f>SUM(AF287:AI287)</f>
        <v>183</v>
      </c>
      <c r="AK287" s="288"/>
      <c r="AL287" s="289"/>
      <c r="AM287" s="251" t="str">
        <f>IF(OR(ISBLANK(AF287)=FALSE,ISBLANK(AK287)=FALSE)=TRUE,"Calendar",IF(OR(ISBLANK(AG287)=FALSE,ISBLANK(AH287)=FALSE,ISBLANK(AI287)=FALSE)=TRUE,"Moving",""))</f>
        <v>Moving</v>
      </c>
      <c r="AN287" s="251" t="str">
        <f>IF(ISBLANK(AK287)=FALSE,$AC$152,IF(ISBLANK(AH287)=FALSE,$AC$153,IF(OR(ISBLANK(AG287)=FALSE,ISBLANK(AF287)=FALSE,ISBLANK(AI287)=FALSE)=TRUE,$AC$151,IF(ISBLANK(AE287)=FALSE,$AC$150,IF(ISBLANK(AD287)=FALSE,$AC$149,$AC$154)))))</f>
        <v>Please answer question 2a and complete section 3.</v>
      </c>
      <c r="AO287" s="290"/>
      <c r="AP287" s="287" t="str">
        <f>AC287</f>
        <v>Vietnam</v>
      </c>
      <c r="AQ287" s="251" t="str">
        <f ca="1" t="shared" si="28"/>
        <v>To qualify for tax exemption, you must not have a fixed base in Singapore and your physical presence in any 12-month period must not exceed  days.</v>
      </c>
      <c r="AR287" s="251"/>
      <c r="AS287" s="251"/>
      <c r="AT287" s="251"/>
      <c r="AU287" s="251"/>
      <c r="AV287" s="251"/>
      <c r="AW287" s="251"/>
      <c r="AX287" s="251"/>
      <c r="AY287" s="251"/>
      <c r="AZ287" s="251"/>
      <c r="BA287" s="251"/>
      <c r="BB287" s="251"/>
      <c r="BC287" s="251"/>
      <c r="BD287" s="251"/>
      <c r="BE287" s="251"/>
      <c r="BF287" s="251"/>
      <c r="BG287" s="251"/>
      <c r="BH287" s="251"/>
    </row>
    <row r="288" spans="2:60" ht="16.5">
      <c r="B288"/>
      <c r="C288" s="226"/>
      <c r="D288" s="226"/>
      <c r="E288" s="226"/>
      <c r="F288" s="226"/>
      <c r="G288" s="226"/>
      <c r="H288" s="226"/>
      <c r="I288" s="226"/>
      <c r="J288" s="226"/>
      <c r="K288" s="226"/>
      <c r="L288" s="226"/>
      <c r="M288" s="226"/>
      <c r="N288" s="226"/>
      <c r="P288" s="251"/>
      <c r="Q288" s="251"/>
      <c r="R288" s="251"/>
      <c r="S288" s="251"/>
      <c r="T288" s="251"/>
      <c r="U288" s="251"/>
      <c r="V288" s="251"/>
      <c r="W288" s="251"/>
      <c r="X288" s="251"/>
      <c r="Y288" s="251"/>
      <c r="Z288" s="251"/>
      <c r="AA288" s="251"/>
      <c r="AB288" s="251"/>
      <c r="AC288" s="287">
        <f>""</f>
      </c>
      <c r="AD288" s="288"/>
      <c r="AE288" s="288"/>
      <c r="AF288" s="288"/>
      <c r="AG288" s="288"/>
      <c r="AH288" s="288"/>
      <c r="AI288" s="288"/>
      <c r="AJ288" s="288"/>
      <c r="AK288" s="288"/>
      <c r="AL288" s="289"/>
      <c r="AM288" s="251"/>
      <c r="AN288" s="251"/>
      <c r="AO288" s="290"/>
      <c r="AP288" s="287"/>
      <c r="AQ288" s="251">
        <f>""</f>
      </c>
      <c r="AR288" s="251"/>
      <c r="AS288" s="251"/>
      <c r="AT288" s="251"/>
      <c r="AU288" s="251"/>
      <c r="AV288" s="251"/>
      <c r="AW288" s="251"/>
      <c r="AX288" s="251"/>
      <c r="AY288" s="251"/>
      <c r="AZ288" s="251"/>
      <c r="BA288" s="251"/>
      <c r="BB288" s="251"/>
      <c r="BC288" s="251"/>
      <c r="BD288" s="251"/>
      <c r="BE288" s="251"/>
      <c r="BF288" s="251"/>
      <c r="BG288" s="251"/>
      <c r="BH288" s="251"/>
    </row>
    <row r="289" spans="2:60" ht="16.5">
      <c r="B289"/>
      <c r="C289" s="226"/>
      <c r="D289" s="226"/>
      <c r="E289" s="226"/>
      <c r="F289" s="226"/>
      <c r="G289" s="226"/>
      <c r="H289" s="226"/>
      <c r="I289" s="226"/>
      <c r="J289" s="226"/>
      <c r="K289" s="226"/>
      <c r="L289" s="226"/>
      <c r="M289" s="226"/>
      <c r="N289" s="226"/>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row>
    <row r="290" spans="16:60" ht="16.5">
      <c r="P290" s="251"/>
      <c r="Q290" s="251"/>
      <c r="R290" s="251"/>
      <c r="S290" s="251"/>
      <c r="T290" s="251"/>
      <c r="U290" s="251"/>
      <c r="V290" s="251"/>
      <c r="W290" s="251"/>
      <c r="X290" s="251"/>
      <c r="Y290" s="251"/>
      <c r="Z290" s="251"/>
      <c r="AA290" s="251"/>
      <c r="AB290" s="251"/>
      <c r="AC290" s="251"/>
      <c r="AD290" s="251"/>
      <c r="AE290" s="251"/>
      <c r="AF290" s="251"/>
      <c r="AG290" s="251"/>
      <c r="AH290" s="251" t="s">
        <v>149</v>
      </c>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row>
    <row r="291" spans="16:60" ht="75">
      <c r="P291" s="251"/>
      <c r="Q291" s="251"/>
      <c r="R291" s="251"/>
      <c r="S291" s="251"/>
      <c r="T291" s="251"/>
      <c r="U291" s="251"/>
      <c r="V291" s="251"/>
      <c r="W291" s="251"/>
      <c r="X291" s="251"/>
      <c r="Y291" s="251"/>
      <c r="Z291" s="251"/>
      <c r="AA291" s="251"/>
      <c r="AB291" s="251"/>
      <c r="AC291" s="251"/>
      <c r="AD291" s="294" t="s">
        <v>150</v>
      </c>
      <c r="AE291" s="294" t="s">
        <v>151</v>
      </c>
      <c r="AF291" s="294" t="s">
        <v>152</v>
      </c>
      <c r="AG291" s="251" t="s">
        <v>153</v>
      </c>
      <c r="AH291" s="295" t="s">
        <v>154</v>
      </c>
      <c r="AI291" s="251" t="s">
        <v>155</v>
      </c>
      <c r="AJ291" s="251" t="s">
        <v>156</v>
      </c>
      <c r="AK291" s="295" t="s">
        <v>157</v>
      </c>
      <c r="AL291" s="251" t="s">
        <v>158</v>
      </c>
      <c r="AM291" s="251" t="s">
        <v>159</v>
      </c>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7"/>
    </row>
    <row r="292" spans="16:60" ht="30">
      <c r="P292" s="251"/>
      <c r="Q292" s="251"/>
      <c r="R292" s="251"/>
      <c r="S292" s="251"/>
      <c r="T292" s="251"/>
      <c r="U292" s="251"/>
      <c r="V292" s="251"/>
      <c r="W292" s="251"/>
      <c r="X292" s="251"/>
      <c r="Y292" s="251"/>
      <c r="Z292" s="251"/>
      <c r="AA292" s="251"/>
      <c r="AB292" s="251"/>
      <c r="AC292" s="251"/>
      <c r="AD292" s="296" t="str">
        <f>IF(ISBLANK(AC188),"",IF(OR(X101&lt;&gt;"",X102&lt;&gt;"")=TRUE,"Taxable",IF(O14="?","Not entered","Exempt")))</f>
        <v>Exempt</v>
      </c>
      <c r="AE292" s="296" t="str">
        <f>IF(AND(SUM($S$32:$S$41)=0,V25=X25,SUM($U$32:$U$41)&gt;0),I44,"Not entered")</f>
        <v>Not entered</v>
      </c>
      <c r="AF292" s="296" t="str">
        <f>IF(AND(SUM($S$32:$S$41)=0,SUM($V$32:$V$41)&gt;0),L44,"Not entered")</f>
        <v>Not entered</v>
      </c>
      <c r="AG292" s="251" t="str">
        <f>CONCATENATE(AD292,AE292,AF292)</f>
        <v>ExemptNot enteredNot entered</v>
      </c>
      <c r="AH292" s="251" t="s">
        <v>88</v>
      </c>
      <c r="AI292" s="251" t="s">
        <v>90</v>
      </c>
      <c r="AJ292" s="251" t="s">
        <v>88</v>
      </c>
      <c r="AK292" s="295" t="str">
        <f aca="true" t="shared" si="31" ref="AK292:AK318">CONCATENATE(AH292,AI292,AJ292)</f>
        <v>TaxableExemptTaxable</v>
      </c>
      <c r="AL292" s="251" t="str">
        <f>$AC$129</f>
        <v>You do not qualify for tax exemption under the tax treaty between Singapore and  for the following reason:</v>
      </c>
      <c r="AM292" s="251" t="s">
        <v>65</v>
      </c>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7"/>
    </row>
    <row r="293" spans="16:60" ht="30">
      <c r="P293" s="251"/>
      <c r="Q293" s="251"/>
      <c r="R293" s="251"/>
      <c r="S293" s="251"/>
      <c r="T293" s="251"/>
      <c r="U293" s="251"/>
      <c r="V293" s="251"/>
      <c r="W293" s="251"/>
      <c r="X293" s="251"/>
      <c r="Y293" s="251"/>
      <c r="Z293" s="251"/>
      <c r="AA293" s="251"/>
      <c r="AB293" s="251"/>
      <c r="AC293" s="251"/>
      <c r="AD293" s="255" t="s">
        <v>203</v>
      </c>
      <c r="AE293" s="253" t="e">
        <f>IF(AND(VLOOKUP("latest engagement",$T$32:$V$41,2,FALSE)&gt;0,VLOOKUP("latest engagement",$T$32:$V$41,3,FALSE)&gt;0),"Yes","No")</f>
        <v>#N/A</v>
      </c>
      <c r="AF293" s="251"/>
      <c r="AG293" s="251"/>
      <c r="AH293" s="251" t="s">
        <v>88</v>
      </c>
      <c r="AI293" s="251" t="s">
        <v>88</v>
      </c>
      <c r="AJ293" s="251" t="s">
        <v>88</v>
      </c>
      <c r="AK293" s="295" t="str">
        <f t="shared" si="31"/>
        <v>TaxableTaxableTaxable</v>
      </c>
      <c r="AL293" s="251" t="str">
        <f>$AC$129</f>
        <v>You do not qualify for tax exemption under the tax treaty between Singapore and  for the following reason:</v>
      </c>
      <c r="AM293" s="251" t="s">
        <v>65</v>
      </c>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7"/>
    </row>
    <row r="294" spans="16:60" ht="30">
      <c r="P294" s="251"/>
      <c r="Q294" s="251"/>
      <c r="R294" s="251"/>
      <c r="S294" s="251"/>
      <c r="T294" s="251"/>
      <c r="U294" s="251"/>
      <c r="V294" s="251"/>
      <c r="W294" s="251"/>
      <c r="X294" s="251"/>
      <c r="Y294" s="251"/>
      <c r="Z294" s="251"/>
      <c r="AA294" s="251"/>
      <c r="AB294" s="251"/>
      <c r="AC294" s="251"/>
      <c r="AD294" s="255"/>
      <c r="AE294" s="253"/>
      <c r="AF294" s="251"/>
      <c r="AG294" s="251"/>
      <c r="AH294" s="251" t="s">
        <v>88</v>
      </c>
      <c r="AI294" s="251" t="s">
        <v>88</v>
      </c>
      <c r="AJ294" s="251" t="s">
        <v>90</v>
      </c>
      <c r="AK294" s="295" t="str">
        <f t="shared" si="31"/>
        <v>TaxableTaxableExempt</v>
      </c>
      <c r="AL294" s="251" t="str">
        <f>$AC$129</f>
        <v>You do not qualify for tax exemption under the tax treaty between Singapore and  for the following reason:</v>
      </c>
      <c r="AM294" s="251" t="s">
        <v>65</v>
      </c>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7"/>
    </row>
    <row r="295" spans="16:60" ht="30">
      <c r="P295" s="251"/>
      <c r="Q295" s="251"/>
      <c r="R295" s="251"/>
      <c r="S295" s="251"/>
      <c r="T295" s="251"/>
      <c r="U295" s="251"/>
      <c r="V295" s="251"/>
      <c r="W295" s="251"/>
      <c r="X295" s="251"/>
      <c r="Y295" s="251"/>
      <c r="Z295" s="251"/>
      <c r="AA295" s="251"/>
      <c r="AB295" s="251"/>
      <c r="AC295" s="251"/>
      <c r="AD295" s="253"/>
      <c r="AE295" s="253"/>
      <c r="AF295" s="251"/>
      <c r="AG295" s="251"/>
      <c r="AH295" s="251" t="s">
        <v>88</v>
      </c>
      <c r="AI295" s="251" t="s">
        <v>90</v>
      </c>
      <c r="AJ295" s="251" t="s">
        <v>90</v>
      </c>
      <c r="AK295" s="295" t="str">
        <f t="shared" si="31"/>
        <v>TaxableExemptExempt</v>
      </c>
      <c r="AL295" s="251" t="str">
        <f>$AC$129</f>
        <v>You do not qualify for tax exemption under the tax treaty between Singapore and  for the following reason:</v>
      </c>
      <c r="AM295" s="251" t="s">
        <v>65</v>
      </c>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7"/>
    </row>
    <row r="296" spans="16:60" ht="34.5" customHeight="1">
      <c r="P296" s="251"/>
      <c r="Q296" s="251"/>
      <c r="R296" s="251"/>
      <c r="S296" s="251"/>
      <c r="T296" s="251"/>
      <c r="U296" s="251"/>
      <c r="V296" s="251"/>
      <c r="W296" s="251"/>
      <c r="X296" s="251"/>
      <c r="Y296" s="251"/>
      <c r="Z296" s="251"/>
      <c r="AA296" s="251"/>
      <c r="AB296" s="251"/>
      <c r="AC296" s="251"/>
      <c r="AD296" s="251"/>
      <c r="AE296" s="251"/>
      <c r="AF296" s="251"/>
      <c r="AG296" s="251"/>
      <c r="AH296" s="251" t="s">
        <v>90</v>
      </c>
      <c r="AI296" s="251" t="s">
        <v>90</v>
      </c>
      <c r="AJ296" s="251" t="s">
        <v>88</v>
      </c>
      <c r="AK296" s="295" t="str">
        <f t="shared" si="31"/>
        <v>ExemptExemptTaxable</v>
      </c>
      <c r="AL296" s="251" t="str">
        <f>$AC$131</f>
        <v>Year 2021:
Tax exemption applies. Please complete Form IR586 below.
Year 2022:
(a) Tax exemption does not apply for the following reason:</v>
      </c>
      <c r="AM296" s="251">
        <f>""</f>
      </c>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7"/>
    </row>
    <row r="297" spans="16:60" ht="34.5" customHeight="1">
      <c r="P297" s="251"/>
      <c r="Q297" s="251"/>
      <c r="R297" s="251"/>
      <c r="S297" s="251"/>
      <c r="T297" s="251"/>
      <c r="U297" s="251"/>
      <c r="V297" s="251"/>
      <c r="W297" s="251"/>
      <c r="X297" s="251"/>
      <c r="Y297" s="251"/>
      <c r="Z297" s="251"/>
      <c r="AA297" s="251"/>
      <c r="AB297" s="251"/>
      <c r="AC297" s="251"/>
      <c r="AD297" s="251"/>
      <c r="AE297" s="251"/>
      <c r="AF297" s="251"/>
      <c r="AG297" s="251"/>
      <c r="AH297" s="251" t="s">
        <v>90</v>
      </c>
      <c r="AI297" s="251" t="s">
        <v>88</v>
      </c>
      <c r="AJ297" s="251" t="s">
        <v>88</v>
      </c>
      <c r="AK297" s="295" t="str">
        <f t="shared" si="31"/>
        <v>ExemptTaxableTaxable</v>
      </c>
      <c r="AL297" s="251" t="str">
        <f>$AC$129</f>
        <v>You do not qualify for tax exemption under the tax treaty between Singapore and  for the following reason:</v>
      </c>
      <c r="AM297" s="251" t="s">
        <v>65</v>
      </c>
      <c r="AN297" s="251"/>
      <c r="AO297" s="251"/>
      <c r="AP297" s="251"/>
      <c r="AQ297" s="251"/>
      <c r="AR297" s="251"/>
      <c r="AS297" s="251"/>
      <c r="AT297" s="251"/>
      <c r="AU297" s="251"/>
      <c r="AV297" s="251"/>
      <c r="AW297" s="251"/>
      <c r="AX297" s="251"/>
      <c r="AY297" s="251"/>
      <c r="AZ297" s="251"/>
      <c r="BA297" s="251"/>
      <c r="BB297" s="251"/>
      <c r="BC297" s="251"/>
      <c r="BD297" s="251"/>
      <c r="BE297" s="251"/>
      <c r="BF297" s="251"/>
      <c r="BG297" s="251"/>
      <c r="BH297" s="257"/>
    </row>
    <row r="298" spans="16:60" ht="54" customHeight="1">
      <c r="P298" s="251"/>
      <c r="Q298" s="251"/>
      <c r="R298" s="251"/>
      <c r="S298" s="251"/>
      <c r="T298" s="251"/>
      <c r="U298" s="251"/>
      <c r="V298" s="251"/>
      <c r="W298" s="251"/>
      <c r="X298" s="251"/>
      <c r="Y298" s="251"/>
      <c r="Z298" s="251"/>
      <c r="AA298" s="251"/>
      <c r="AB298" s="251"/>
      <c r="AC298" s="251"/>
      <c r="AD298" s="251"/>
      <c r="AE298" s="251"/>
      <c r="AF298" s="251"/>
      <c r="AG298" s="251"/>
      <c r="AH298" s="251" t="s">
        <v>90</v>
      </c>
      <c r="AI298" s="251" t="s">
        <v>88</v>
      </c>
      <c r="AJ298" s="251" t="s">
        <v>90</v>
      </c>
      <c r="AK298" s="295" t="str">
        <f t="shared" si="31"/>
        <v>ExemptTaxableExempt</v>
      </c>
      <c r="AL298" s="251" t="str">
        <f>$AC$130</f>
        <v>Year 2022:
Tax exemption applies. Please complete Form IR586 below.
Year 2021:
(a) Tax exemption does not apply for the following reason:</v>
      </c>
      <c r="AM298" s="251">
        <f>""</f>
      </c>
      <c r="AN298" s="251"/>
      <c r="AO298" s="251"/>
      <c r="AP298" s="251"/>
      <c r="AQ298" s="251"/>
      <c r="AR298" s="251"/>
      <c r="AS298" s="251"/>
      <c r="AT298" s="251"/>
      <c r="AU298" s="251"/>
      <c r="AV298" s="251"/>
      <c r="AW298" s="251"/>
      <c r="AX298" s="251"/>
      <c r="AY298" s="251"/>
      <c r="AZ298" s="251"/>
      <c r="BA298" s="251"/>
      <c r="BB298" s="251"/>
      <c r="BC298" s="251"/>
      <c r="BD298" s="251"/>
      <c r="BE298" s="251"/>
      <c r="BF298" s="251"/>
      <c r="BG298" s="251"/>
      <c r="BH298" s="257"/>
    </row>
    <row r="299" spans="16:60" ht="30">
      <c r="P299" s="251"/>
      <c r="Q299" s="251"/>
      <c r="R299" s="251"/>
      <c r="S299" s="251"/>
      <c r="T299" s="251"/>
      <c r="U299" s="251"/>
      <c r="V299" s="251"/>
      <c r="W299" s="251"/>
      <c r="X299" s="251"/>
      <c r="Y299" s="251"/>
      <c r="Z299" s="251"/>
      <c r="AA299" s="251"/>
      <c r="AB299" s="251"/>
      <c r="AC299" s="251"/>
      <c r="AD299" s="251"/>
      <c r="AE299" s="251"/>
      <c r="AF299" s="251"/>
      <c r="AG299" s="251"/>
      <c r="AH299" s="251" t="s">
        <v>90</v>
      </c>
      <c r="AI299" s="251" t="s">
        <v>90</v>
      </c>
      <c r="AJ299" s="251" t="s">
        <v>90</v>
      </c>
      <c r="AK299" s="295" t="str">
        <f t="shared" si="31"/>
        <v>ExemptExemptExempt</v>
      </c>
      <c r="AL299" s="251" t="str">
        <f>$AC$137</f>
        <v>Based on the information furnished, you would qualify for exemption from Singapore income tax under the tax treaty between Singapore and . Please complete Form IR586 below.</v>
      </c>
      <c r="AM299" s="251">
        <f>""</f>
      </c>
      <c r="AN299" s="251"/>
      <c r="AO299" s="251"/>
      <c r="AP299" s="251"/>
      <c r="AQ299" s="251"/>
      <c r="AR299" s="251"/>
      <c r="AS299" s="251"/>
      <c r="AT299" s="251"/>
      <c r="AU299" s="251"/>
      <c r="AV299" s="251"/>
      <c r="AW299" s="251"/>
      <c r="AX299" s="251"/>
      <c r="AY299" s="251"/>
      <c r="AZ299" s="251"/>
      <c r="BA299" s="251"/>
      <c r="BB299" s="251"/>
      <c r="BC299" s="251"/>
      <c r="BD299" s="251"/>
      <c r="BE299" s="251"/>
      <c r="BF299" s="251"/>
      <c r="BG299" s="251"/>
      <c r="BH299" s="257"/>
    </row>
    <row r="300" spans="16:60" ht="45">
      <c r="P300" s="251"/>
      <c r="Q300" s="251"/>
      <c r="R300" s="251"/>
      <c r="S300" s="251"/>
      <c r="T300" s="251"/>
      <c r="U300" s="251"/>
      <c r="V300" s="251"/>
      <c r="W300" s="251"/>
      <c r="X300" s="251"/>
      <c r="Y300" s="251"/>
      <c r="Z300" s="251"/>
      <c r="AA300" s="251"/>
      <c r="AB300" s="251"/>
      <c r="AC300" s="251"/>
      <c r="AD300" s="251"/>
      <c r="AE300" s="251"/>
      <c r="AF300" s="251"/>
      <c r="AG300" s="251"/>
      <c r="AH300" s="251" t="s">
        <v>88</v>
      </c>
      <c r="AI300" s="251" t="s">
        <v>160</v>
      </c>
      <c r="AJ300" s="251" t="s">
        <v>90</v>
      </c>
      <c r="AK300" s="295" t="str">
        <f t="shared" si="31"/>
        <v>TaxableNot enteredExempt</v>
      </c>
      <c r="AL300" s="251" t="str">
        <f>$AC$129</f>
        <v>You do not qualify for tax exemption under the tax treaty between Singapore and  for the following reason:</v>
      </c>
      <c r="AM300" s="251" t="s">
        <v>65</v>
      </c>
      <c r="AN300" s="251"/>
      <c r="AO300" s="251"/>
      <c r="AP300" s="251"/>
      <c r="AQ300" s="251"/>
      <c r="AR300" s="251"/>
      <c r="AS300" s="251"/>
      <c r="AT300" s="251"/>
      <c r="AU300" s="251"/>
      <c r="AV300" s="251"/>
      <c r="AW300" s="251"/>
      <c r="AX300" s="251"/>
      <c r="AY300" s="251"/>
      <c r="AZ300" s="251"/>
      <c r="BA300" s="251"/>
      <c r="BB300" s="251"/>
      <c r="BC300" s="251"/>
      <c r="BD300" s="251"/>
      <c r="BE300" s="251"/>
      <c r="BF300" s="251"/>
      <c r="BG300" s="251"/>
      <c r="BH300" s="257"/>
    </row>
    <row r="301" spans="16:60" ht="45">
      <c r="P301" s="251"/>
      <c r="Q301" s="251"/>
      <c r="R301" s="251"/>
      <c r="S301" s="251"/>
      <c r="T301" s="251"/>
      <c r="U301" s="251"/>
      <c r="V301" s="251"/>
      <c r="W301" s="251"/>
      <c r="X301" s="251"/>
      <c r="Y301" s="251"/>
      <c r="Z301" s="251"/>
      <c r="AA301" s="251"/>
      <c r="AB301" s="251"/>
      <c r="AC301" s="251"/>
      <c r="AD301" s="251"/>
      <c r="AE301" s="251"/>
      <c r="AF301" s="251"/>
      <c r="AG301" s="251"/>
      <c r="AH301" s="251" t="s">
        <v>88</v>
      </c>
      <c r="AI301" s="251" t="s">
        <v>90</v>
      </c>
      <c r="AJ301" s="251" t="s">
        <v>160</v>
      </c>
      <c r="AK301" s="295" t="str">
        <f t="shared" si="31"/>
        <v>TaxableExemptNot entered</v>
      </c>
      <c r="AL301" s="251" t="str">
        <f>$AC$129</f>
        <v>You do not qualify for tax exemption under the tax treaty between Singapore and  for the following reason:</v>
      </c>
      <c r="AM301" s="251" t="s">
        <v>65</v>
      </c>
      <c r="AN301" s="251"/>
      <c r="AO301" s="251"/>
      <c r="AP301" s="251"/>
      <c r="AQ301" s="251"/>
      <c r="AR301" s="251"/>
      <c r="AS301" s="251"/>
      <c r="AT301" s="251"/>
      <c r="AU301" s="251"/>
      <c r="AV301" s="251"/>
      <c r="AW301" s="251"/>
      <c r="AX301" s="251"/>
      <c r="AY301" s="251"/>
      <c r="AZ301" s="251"/>
      <c r="BA301" s="251"/>
      <c r="BB301" s="251"/>
      <c r="BC301" s="251"/>
      <c r="BD301" s="251"/>
      <c r="BE301" s="251"/>
      <c r="BF301" s="251"/>
      <c r="BG301" s="251"/>
      <c r="BH301" s="257"/>
    </row>
    <row r="302" spans="16:60" ht="45">
      <c r="P302" s="251"/>
      <c r="Q302" s="251"/>
      <c r="R302" s="251"/>
      <c r="S302" s="251"/>
      <c r="T302" s="251"/>
      <c r="U302" s="251"/>
      <c r="V302" s="251"/>
      <c r="W302" s="251"/>
      <c r="X302" s="251"/>
      <c r="Y302" s="251"/>
      <c r="Z302" s="251"/>
      <c r="AA302" s="251"/>
      <c r="AB302" s="251"/>
      <c r="AC302" s="251"/>
      <c r="AD302" s="251"/>
      <c r="AE302" s="251"/>
      <c r="AF302" s="251"/>
      <c r="AG302" s="251"/>
      <c r="AH302" s="251" t="s">
        <v>88</v>
      </c>
      <c r="AI302" s="251" t="s">
        <v>160</v>
      </c>
      <c r="AJ302" s="251" t="s">
        <v>160</v>
      </c>
      <c r="AK302" s="295" t="str">
        <f t="shared" si="31"/>
        <v>TaxableNot enteredNot entered</v>
      </c>
      <c r="AL302" s="251" t="str">
        <f>$AC$129</f>
        <v>You do not qualify for tax exemption under the tax treaty between Singapore and  for the following reason:</v>
      </c>
      <c r="AM302" s="251" t="s">
        <v>65</v>
      </c>
      <c r="AN302" s="251"/>
      <c r="AO302" s="251"/>
      <c r="AP302" s="251"/>
      <c r="AQ302" s="251"/>
      <c r="AR302" s="251"/>
      <c r="AS302" s="251"/>
      <c r="AT302" s="251"/>
      <c r="AU302" s="251"/>
      <c r="AV302" s="251"/>
      <c r="AW302" s="251"/>
      <c r="AX302" s="251"/>
      <c r="AY302" s="251"/>
      <c r="AZ302" s="251"/>
      <c r="BA302" s="251"/>
      <c r="BB302" s="251"/>
      <c r="BC302" s="251"/>
      <c r="BD302" s="251"/>
      <c r="BE302" s="251"/>
      <c r="BF302" s="251"/>
      <c r="BG302" s="251"/>
      <c r="BH302" s="257"/>
    </row>
    <row r="303" spans="16:60" ht="45">
      <c r="P303" s="251"/>
      <c r="Q303" s="251"/>
      <c r="R303" s="251"/>
      <c r="S303" s="251"/>
      <c r="T303" s="251"/>
      <c r="U303" s="251"/>
      <c r="V303" s="251"/>
      <c r="W303" s="251"/>
      <c r="X303" s="251"/>
      <c r="Y303" s="251"/>
      <c r="Z303" s="251"/>
      <c r="AA303" s="251"/>
      <c r="AB303" s="251"/>
      <c r="AC303" s="251"/>
      <c r="AD303" s="251"/>
      <c r="AE303" s="251"/>
      <c r="AF303" s="251"/>
      <c r="AG303" s="251"/>
      <c r="AH303" s="251" t="s">
        <v>88</v>
      </c>
      <c r="AI303" s="251" t="s">
        <v>160</v>
      </c>
      <c r="AJ303" s="251" t="s">
        <v>88</v>
      </c>
      <c r="AK303" s="295" t="str">
        <f t="shared" si="31"/>
        <v>TaxableNot enteredTaxable</v>
      </c>
      <c r="AL303" s="251" t="str">
        <f>$AC$129</f>
        <v>You do not qualify for tax exemption under the tax treaty between Singapore and  for the following reason:</v>
      </c>
      <c r="AM303" s="251" t="s">
        <v>65</v>
      </c>
      <c r="AN303" s="251"/>
      <c r="AO303" s="251"/>
      <c r="AP303" s="251"/>
      <c r="AQ303" s="251"/>
      <c r="AR303" s="251"/>
      <c r="AS303" s="251"/>
      <c r="AT303" s="251"/>
      <c r="AU303" s="251"/>
      <c r="AV303" s="251"/>
      <c r="AW303" s="251"/>
      <c r="AX303" s="251"/>
      <c r="AY303" s="251"/>
      <c r="AZ303" s="251"/>
      <c r="BA303" s="251"/>
      <c r="BB303" s="251"/>
      <c r="BC303" s="251"/>
      <c r="BD303" s="251"/>
      <c r="BE303" s="251"/>
      <c r="BF303" s="251"/>
      <c r="BG303" s="251"/>
      <c r="BH303" s="257"/>
    </row>
    <row r="304" spans="16:60" ht="45.75" customHeight="1">
      <c r="P304" s="251"/>
      <c r="Q304" s="251"/>
      <c r="R304" s="251"/>
      <c r="S304" s="251"/>
      <c r="T304" s="251"/>
      <c r="U304" s="251"/>
      <c r="V304" s="251"/>
      <c r="W304" s="251"/>
      <c r="X304" s="251"/>
      <c r="Y304" s="251"/>
      <c r="Z304" s="251"/>
      <c r="AA304" s="251"/>
      <c r="AB304" s="251"/>
      <c r="AC304" s="251"/>
      <c r="AD304" s="251"/>
      <c r="AE304" s="251"/>
      <c r="AF304" s="251"/>
      <c r="AG304" s="251"/>
      <c r="AH304" s="251" t="s">
        <v>88</v>
      </c>
      <c r="AI304" s="251" t="s">
        <v>88</v>
      </c>
      <c r="AJ304" s="251" t="s">
        <v>160</v>
      </c>
      <c r="AK304" s="295" t="str">
        <f t="shared" si="31"/>
        <v>TaxableTaxableNot entered</v>
      </c>
      <c r="AL304" s="251" t="str">
        <f>$AC$129</f>
        <v>You do not qualify for tax exemption under the tax treaty between Singapore and  for the following reason:</v>
      </c>
      <c r="AM304" s="251" t="s">
        <v>65</v>
      </c>
      <c r="AN304" s="251"/>
      <c r="AO304" s="251"/>
      <c r="AP304" s="251"/>
      <c r="AQ304" s="251"/>
      <c r="AR304" s="251"/>
      <c r="AS304" s="251"/>
      <c r="AT304" s="251"/>
      <c r="AU304" s="251"/>
      <c r="AV304" s="251"/>
      <c r="AW304" s="251"/>
      <c r="AX304" s="251"/>
      <c r="AY304" s="251"/>
      <c r="AZ304" s="251"/>
      <c r="BA304" s="251"/>
      <c r="BB304" s="251"/>
      <c r="BC304" s="251"/>
      <c r="BD304" s="251"/>
      <c r="BE304" s="251"/>
      <c r="BF304" s="251"/>
      <c r="BG304" s="251"/>
      <c r="BH304" s="257"/>
    </row>
    <row r="305" spans="16:60" ht="45.75" customHeight="1">
      <c r="P305" s="251"/>
      <c r="Q305" s="251"/>
      <c r="R305" s="251"/>
      <c r="S305" s="251"/>
      <c r="T305" s="251"/>
      <c r="U305" s="251"/>
      <c r="V305" s="251"/>
      <c r="W305" s="251"/>
      <c r="X305" s="251"/>
      <c r="Y305" s="251"/>
      <c r="Z305" s="251"/>
      <c r="AA305" s="251"/>
      <c r="AB305" s="251"/>
      <c r="AC305" s="251"/>
      <c r="AD305" s="251"/>
      <c r="AE305" s="251"/>
      <c r="AF305" s="251"/>
      <c r="AG305" s="251"/>
      <c r="AH305" s="251" t="s">
        <v>90</v>
      </c>
      <c r="AI305" s="251" t="s">
        <v>160</v>
      </c>
      <c r="AJ305" s="251" t="s">
        <v>90</v>
      </c>
      <c r="AK305" s="295" t="str">
        <f t="shared" si="31"/>
        <v>ExemptNot enteredExempt</v>
      </c>
      <c r="AL305" s="251" t="str">
        <f>$AC$137</f>
        <v>Based on the information furnished, you would qualify for exemption from Singapore income tax under the tax treaty between Singapore and . Please complete Form IR586 below.</v>
      </c>
      <c r="AM305" s="251">
        <f>""</f>
      </c>
      <c r="AN305" s="251"/>
      <c r="AO305" s="251"/>
      <c r="AP305" s="251"/>
      <c r="AQ305" s="251"/>
      <c r="AR305" s="251"/>
      <c r="AS305" s="251"/>
      <c r="AT305" s="251"/>
      <c r="AU305" s="251"/>
      <c r="AV305" s="251"/>
      <c r="AW305" s="251"/>
      <c r="AX305" s="251"/>
      <c r="AY305" s="251"/>
      <c r="AZ305" s="251"/>
      <c r="BA305" s="251"/>
      <c r="BB305" s="251"/>
      <c r="BC305" s="251"/>
      <c r="BD305" s="251"/>
      <c r="BE305" s="251"/>
      <c r="BF305" s="251"/>
      <c r="BG305" s="251"/>
      <c r="BH305" s="257"/>
    </row>
    <row r="306" spans="16:60" ht="45.75" customHeight="1">
      <c r="P306" s="251"/>
      <c r="Q306" s="251"/>
      <c r="R306" s="251"/>
      <c r="S306" s="251"/>
      <c r="T306" s="251"/>
      <c r="U306" s="251"/>
      <c r="V306" s="251"/>
      <c r="W306" s="251"/>
      <c r="X306" s="251"/>
      <c r="Y306" s="251"/>
      <c r="Z306" s="251"/>
      <c r="AA306" s="251"/>
      <c r="AB306" s="251"/>
      <c r="AC306" s="251"/>
      <c r="AD306" s="251"/>
      <c r="AE306" s="251"/>
      <c r="AF306" s="251"/>
      <c r="AG306" s="251"/>
      <c r="AH306" s="251" t="s">
        <v>90</v>
      </c>
      <c r="AI306" s="251" t="s">
        <v>90</v>
      </c>
      <c r="AJ306" s="251" t="s">
        <v>160</v>
      </c>
      <c r="AK306" s="295" t="str">
        <f t="shared" si="31"/>
        <v>ExemptExemptNot entered</v>
      </c>
      <c r="AL306" s="251" t="str">
        <f>$AC$137</f>
        <v>Based on the information furnished, you would qualify for exemption from Singapore income tax under the tax treaty between Singapore and . Please complete Form IR586 below.</v>
      </c>
      <c r="AM306" s="251">
        <f>""</f>
      </c>
      <c r="AN306" s="251"/>
      <c r="AO306" s="251"/>
      <c r="AP306" s="251"/>
      <c r="AQ306" s="251"/>
      <c r="AR306" s="251"/>
      <c r="AS306" s="251"/>
      <c r="AT306" s="251"/>
      <c r="AU306" s="251"/>
      <c r="AV306" s="251"/>
      <c r="AW306" s="251"/>
      <c r="AX306" s="251"/>
      <c r="AY306" s="251"/>
      <c r="AZ306" s="251"/>
      <c r="BA306" s="251"/>
      <c r="BB306" s="251"/>
      <c r="BC306" s="251"/>
      <c r="BD306" s="251"/>
      <c r="BE306" s="251"/>
      <c r="BF306" s="251"/>
      <c r="BG306" s="251"/>
      <c r="BH306" s="257"/>
    </row>
    <row r="307" spans="16:60" ht="45">
      <c r="P307" s="251"/>
      <c r="Q307" s="251"/>
      <c r="R307" s="251"/>
      <c r="S307" s="251"/>
      <c r="T307" s="251"/>
      <c r="U307" s="251"/>
      <c r="V307" s="251"/>
      <c r="W307" s="251"/>
      <c r="X307" s="251"/>
      <c r="Y307" s="251"/>
      <c r="Z307" s="251"/>
      <c r="AA307" s="251"/>
      <c r="AB307" s="251"/>
      <c r="AC307" s="251"/>
      <c r="AD307" s="251"/>
      <c r="AE307" s="251"/>
      <c r="AF307" s="251"/>
      <c r="AG307" s="251"/>
      <c r="AH307" s="251" t="s">
        <v>90</v>
      </c>
      <c r="AI307" s="251" t="s">
        <v>160</v>
      </c>
      <c r="AJ307" s="251" t="s">
        <v>160</v>
      </c>
      <c r="AK307" s="295" t="str">
        <f t="shared" si="31"/>
        <v>ExemptNot enteredNot entered</v>
      </c>
      <c r="AL307" s="251" t="str">
        <f>AC146</f>
        <v>Please complete section 3.</v>
      </c>
      <c r="AM307" s="251">
        <f>""</f>
      </c>
      <c r="AN307" s="251"/>
      <c r="AO307" s="251"/>
      <c r="AP307" s="251"/>
      <c r="AQ307" s="251"/>
      <c r="AR307" s="251"/>
      <c r="AS307" s="251"/>
      <c r="AT307" s="251"/>
      <c r="AU307" s="251"/>
      <c r="AV307" s="251"/>
      <c r="AW307" s="251"/>
      <c r="AX307" s="251"/>
      <c r="AY307" s="251"/>
      <c r="AZ307" s="251"/>
      <c r="BA307" s="251"/>
      <c r="BB307" s="251"/>
      <c r="BC307" s="251"/>
      <c r="BD307" s="251"/>
      <c r="BE307" s="251"/>
      <c r="BF307" s="251"/>
      <c r="BG307" s="251"/>
      <c r="BH307" s="257"/>
    </row>
    <row r="308" spans="16:60" ht="45">
      <c r="P308" s="251"/>
      <c r="Q308" s="251"/>
      <c r="R308" s="251"/>
      <c r="S308" s="251"/>
      <c r="T308" s="251"/>
      <c r="U308" s="251"/>
      <c r="V308" s="251"/>
      <c r="W308" s="251"/>
      <c r="X308" s="251"/>
      <c r="Y308" s="251"/>
      <c r="Z308" s="251"/>
      <c r="AA308" s="251"/>
      <c r="AB308" s="251"/>
      <c r="AC308" s="251"/>
      <c r="AD308" s="251"/>
      <c r="AE308" s="251"/>
      <c r="AF308" s="251"/>
      <c r="AG308" s="251"/>
      <c r="AH308" s="251" t="s">
        <v>90</v>
      </c>
      <c r="AI308" s="251" t="s">
        <v>160</v>
      </c>
      <c r="AJ308" s="251" t="s">
        <v>88</v>
      </c>
      <c r="AK308" s="295" t="str">
        <f t="shared" si="31"/>
        <v>ExemptNot enteredTaxable</v>
      </c>
      <c r="AL308" s="251" t="str">
        <f>$AC$129</f>
        <v>You do not qualify for tax exemption under the tax treaty between Singapore and  for the following reason:</v>
      </c>
      <c r="AM308" s="251" t="s">
        <v>65</v>
      </c>
      <c r="AN308" s="251"/>
      <c r="AO308" s="251"/>
      <c r="AP308" s="251"/>
      <c r="AQ308" s="251"/>
      <c r="AR308" s="251"/>
      <c r="AS308" s="251"/>
      <c r="AT308" s="251"/>
      <c r="AU308" s="251"/>
      <c r="AV308" s="251"/>
      <c r="AW308" s="251"/>
      <c r="AX308" s="251"/>
      <c r="AY308" s="251"/>
      <c r="AZ308" s="251"/>
      <c r="BA308" s="251"/>
      <c r="BB308" s="251"/>
      <c r="BC308" s="251"/>
      <c r="BD308" s="251"/>
      <c r="BE308" s="251"/>
      <c r="BF308" s="251"/>
      <c r="BG308" s="251"/>
      <c r="BH308" s="257"/>
    </row>
    <row r="309" spans="16:60" ht="45">
      <c r="P309" s="251"/>
      <c r="Q309" s="251"/>
      <c r="R309" s="251"/>
      <c r="S309" s="251"/>
      <c r="T309" s="251"/>
      <c r="U309" s="251"/>
      <c r="V309" s="251"/>
      <c r="W309" s="251"/>
      <c r="X309" s="251"/>
      <c r="Y309" s="251"/>
      <c r="Z309" s="251"/>
      <c r="AA309" s="251"/>
      <c r="AB309" s="251"/>
      <c r="AC309" s="251"/>
      <c r="AD309" s="251"/>
      <c r="AE309" s="251"/>
      <c r="AF309" s="251"/>
      <c r="AG309" s="251"/>
      <c r="AH309" s="251" t="s">
        <v>90</v>
      </c>
      <c r="AI309" s="251" t="s">
        <v>88</v>
      </c>
      <c r="AJ309" s="251" t="s">
        <v>160</v>
      </c>
      <c r="AK309" s="295" t="str">
        <f t="shared" si="31"/>
        <v>ExemptTaxableNot entered</v>
      </c>
      <c r="AL309" s="251" t="str">
        <f>$AC$129</f>
        <v>You do not qualify for tax exemption under the tax treaty between Singapore and  for the following reason:</v>
      </c>
      <c r="AM309" s="251" t="s">
        <v>65</v>
      </c>
      <c r="AN309" s="251"/>
      <c r="AO309" s="251"/>
      <c r="AP309" s="251"/>
      <c r="AQ309" s="251"/>
      <c r="AR309" s="251"/>
      <c r="AS309" s="251"/>
      <c r="AT309" s="251"/>
      <c r="AU309" s="251"/>
      <c r="AV309" s="251"/>
      <c r="AW309" s="251"/>
      <c r="AX309" s="251"/>
      <c r="AY309" s="251"/>
      <c r="AZ309" s="251"/>
      <c r="BA309" s="251"/>
      <c r="BB309" s="251"/>
      <c r="BC309" s="251"/>
      <c r="BD309" s="251"/>
      <c r="BE309" s="251"/>
      <c r="BF309" s="251"/>
      <c r="BG309" s="251"/>
      <c r="BH309" s="257"/>
    </row>
    <row r="310" spans="16:60" ht="60">
      <c r="P310" s="251"/>
      <c r="Q310" s="251"/>
      <c r="R310" s="251"/>
      <c r="S310" s="251"/>
      <c r="T310" s="251"/>
      <c r="U310" s="251"/>
      <c r="V310" s="251"/>
      <c r="W310" s="251"/>
      <c r="X310" s="251"/>
      <c r="Y310" s="251"/>
      <c r="Z310" s="251"/>
      <c r="AA310" s="251"/>
      <c r="AB310" s="251"/>
      <c r="AC310" s="251"/>
      <c r="AD310" s="251"/>
      <c r="AE310" s="251"/>
      <c r="AF310" s="251"/>
      <c r="AG310" s="251"/>
      <c r="AH310" s="251" t="s">
        <v>160</v>
      </c>
      <c r="AI310" s="251" t="s">
        <v>160</v>
      </c>
      <c r="AJ310" s="251" t="s">
        <v>160</v>
      </c>
      <c r="AK310" s="295" t="str">
        <f t="shared" si="31"/>
        <v>Not enteredNot enteredNot entered</v>
      </c>
      <c r="AL310" s="252">
        <f>$O$49</f>
      </c>
      <c r="AM310" s="251"/>
      <c r="AN310" s="251"/>
      <c r="AO310" s="251"/>
      <c r="AP310" s="251"/>
      <c r="AQ310" s="251"/>
      <c r="AR310" s="251"/>
      <c r="AS310" s="251"/>
      <c r="AT310" s="251"/>
      <c r="AU310" s="251"/>
      <c r="AV310" s="251"/>
      <c r="AW310" s="251"/>
      <c r="AX310" s="251"/>
      <c r="AY310" s="251"/>
      <c r="AZ310" s="251"/>
      <c r="BA310" s="251"/>
      <c r="BB310" s="251"/>
      <c r="BC310" s="251"/>
      <c r="BD310" s="251"/>
      <c r="BE310" s="251"/>
      <c r="BF310" s="251"/>
      <c r="BG310" s="251"/>
      <c r="BH310" s="257"/>
    </row>
    <row r="311" spans="16:60" ht="60">
      <c r="P311" s="251"/>
      <c r="Q311" s="251"/>
      <c r="R311" s="251"/>
      <c r="S311" s="251"/>
      <c r="T311" s="251"/>
      <c r="U311" s="251"/>
      <c r="V311" s="251"/>
      <c r="W311" s="251"/>
      <c r="X311" s="251"/>
      <c r="Y311" s="251"/>
      <c r="Z311" s="251"/>
      <c r="AA311" s="251"/>
      <c r="AB311" s="251"/>
      <c r="AC311" s="251"/>
      <c r="AD311" s="251"/>
      <c r="AE311" s="251"/>
      <c r="AF311" s="251"/>
      <c r="AG311" s="251"/>
      <c r="AH311" s="251" t="s">
        <v>160</v>
      </c>
      <c r="AI311" s="251" t="s">
        <v>90</v>
      </c>
      <c r="AJ311" s="251" t="s">
        <v>160</v>
      </c>
      <c r="AK311" s="295" t="str">
        <f t="shared" si="31"/>
        <v>Not enteredExemptNot entered</v>
      </c>
      <c r="AL311" s="252">
        <f>$O$49</f>
      </c>
      <c r="AM311" s="251"/>
      <c r="AN311" s="251"/>
      <c r="AO311" s="251"/>
      <c r="AP311" s="251"/>
      <c r="AQ311" s="251"/>
      <c r="AR311" s="251"/>
      <c r="AS311" s="251"/>
      <c r="AT311" s="251"/>
      <c r="AU311" s="251"/>
      <c r="AV311" s="251"/>
      <c r="AW311" s="251"/>
      <c r="AX311" s="251"/>
      <c r="AY311" s="251"/>
      <c r="AZ311" s="251"/>
      <c r="BA311" s="251"/>
      <c r="BB311" s="251"/>
      <c r="BC311" s="251"/>
      <c r="BD311" s="251"/>
      <c r="BE311" s="251"/>
      <c r="BF311" s="251"/>
      <c r="BG311" s="251"/>
      <c r="BH311" s="257"/>
    </row>
    <row r="312" spans="16:60" ht="45.75" customHeight="1">
      <c r="P312" s="251"/>
      <c r="Q312" s="251"/>
      <c r="R312" s="251"/>
      <c r="S312" s="251"/>
      <c r="T312" s="251"/>
      <c r="U312" s="251"/>
      <c r="V312" s="251"/>
      <c r="W312" s="251"/>
      <c r="X312" s="251"/>
      <c r="Y312" s="251"/>
      <c r="Z312" s="251"/>
      <c r="AA312" s="251"/>
      <c r="AB312" s="251"/>
      <c r="AC312" s="251"/>
      <c r="AD312" s="251"/>
      <c r="AE312" s="251"/>
      <c r="AF312" s="251"/>
      <c r="AG312" s="251"/>
      <c r="AH312" s="251" t="s">
        <v>160</v>
      </c>
      <c r="AI312" s="251" t="s">
        <v>160</v>
      </c>
      <c r="AJ312" s="251" t="s">
        <v>90</v>
      </c>
      <c r="AK312" s="295" t="str">
        <f t="shared" si="31"/>
        <v>Not enteredNot enteredExempt</v>
      </c>
      <c r="AL312" s="252">
        <f>$O$49</f>
      </c>
      <c r="AM312" s="251"/>
      <c r="AN312" s="251"/>
      <c r="AO312" s="251"/>
      <c r="AP312" s="251"/>
      <c r="AQ312" s="251"/>
      <c r="AR312" s="251"/>
      <c r="AS312" s="251"/>
      <c r="AT312" s="251"/>
      <c r="AU312" s="251"/>
      <c r="AV312" s="251"/>
      <c r="AW312" s="251"/>
      <c r="AX312" s="251"/>
      <c r="AY312" s="251"/>
      <c r="AZ312" s="251"/>
      <c r="BA312" s="251"/>
      <c r="BB312" s="251"/>
      <c r="BC312" s="251"/>
      <c r="BD312" s="251"/>
      <c r="BE312" s="251"/>
      <c r="BF312" s="251"/>
      <c r="BG312" s="251"/>
      <c r="BH312" s="257"/>
    </row>
    <row r="313" spans="16:60" ht="45.75" customHeight="1">
      <c r="P313" s="251"/>
      <c r="Q313" s="251"/>
      <c r="R313" s="251"/>
      <c r="S313" s="251"/>
      <c r="T313" s="251"/>
      <c r="U313" s="251"/>
      <c r="V313" s="251"/>
      <c r="W313" s="251"/>
      <c r="X313" s="251"/>
      <c r="Y313" s="251"/>
      <c r="Z313" s="251"/>
      <c r="AA313" s="251"/>
      <c r="AB313" s="251"/>
      <c r="AC313" s="251"/>
      <c r="AD313" s="251"/>
      <c r="AE313" s="251"/>
      <c r="AF313" s="251"/>
      <c r="AG313" s="251"/>
      <c r="AH313" s="251" t="s">
        <v>160</v>
      </c>
      <c r="AI313" s="251" t="s">
        <v>88</v>
      </c>
      <c r="AJ313" s="251" t="s">
        <v>160</v>
      </c>
      <c r="AK313" s="295" t="str">
        <f t="shared" si="31"/>
        <v>Not enteredTaxableNot entered</v>
      </c>
      <c r="AL313" s="251" t="str">
        <f>$AC$129</f>
        <v>You do not qualify for tax exemption under the tax treaty between Singapore and  for the following reason:</v>
      </c>
      <c r="AM313" s="251"/>
      <c r="AN313" s="251"/>
      <c r="AO313" s="251"/>
      <c r="AP313" s="251"/>
      <c r="AQ313" s="251"/>
      <c r="AR313" s="251"/>
      <c r="AS313" s="251"/>
      <c r="AT313" s="251"/>
      <c r="AU313" s="251"/>
      <c r="AV313" s="251"/>
      <c r="AW313" s="251"/>
      <c r="AX313" s="251"/>
      <c r="AY313" s="251"/>
      <c r="AZ313" s="251"/>
      <c r="BA313" s="251"/>
      <c r="BB313" s="251"/>
      <c r="BC313" s="251"/>
      <c r="BD313" s="251"/>
      <c r="BE313" s="251"/>
      <c r="BF313" s="251"/>
      <c r="BG313" s="251"/>
      <c r="BH313" s="257"/>
    </row>
    <row r="314" spans="16:60" ht="45.75" customHeight="1">
      <c r="P314" s="251"/>
      <c r="Q314" s="251"/>
      <c r="R314" s="251"/>
      <c r="S314" s="251"/>
      <c r="T314" s="251"/>
      <c r="U314" s="251"/>
      <c r="V314" s="251"/>
      <c r="W314" s="251"/>
      <c r="X314" s="251"/>
      <c r="Y314" s="251"/>
      <c r="Z314" s="251"/>
      <c r="AA314" s="251"/>
      <c r="AB314" s="251"/>
      <c r="AC314" s="251"/>
      <c r="AD314" s="251"/>
      <c r="AE314" s="251"/>
      <c r="AF314" s="251"/>
      <c r="AG314" s="251"/>
      <c r="AH314" s="251" t="s">
        <v>160</v>
      </c>
      <c r="AI314" s="251" t="s">
        <v>160</v>
      </c>
      <c r="AJ314" s="251" t="s">
        <v>88</v>
      </c>
      <c r="AK314" s="295" t="str">
        <f t="shared" si="31"/>
        <v>Not enteredNot enteredTaxable</v>
      </c>
      <c r="AL314" s="251" t="str">
        <f>$AC$129</f>
        <v>You do not qualify for tax exemption under the tax treaty between Singapore and  for the following reason:</v>
      </c>
      <c r="AM314" s="251"/>
      <c r="AN314" s="251"/>
      <c r="AO314" s="251"/>
      <c r="AP314" s="251"/>
      <c r="AQ314" s="251"/>
      <c r="AR314" s="251"/>
      <c r="AS314" s="251"/>
      <c r="AT314" s="251"/>
      <c r="AU314" s="251"/>
      <c r="AV314" s="251"/>
      <c r="AW314" s="251"/>
      <c r="AX314" s="251"/>
      <c r="AY314" s="251"/>
      <c r="AZ314" s="251"/>
      <c r="BA314" s="251"/>
      <c r="BB314" s="251"/>
      <c r="BC314" s="251"/>
      <c r="BD314" s="251"/>
      <c r="BE314" s="251"/>
      <c r="BF314" s="251"/>
      <c r="BG314" s="251"/>
      <c r="BH314" s="257"/>
    </row>
    <row r="315" spans="16:60" ht="45">
      <c r="P315" s="251"/>
      <c r="Q315" s="251"/>
      <c r="R315" s="251"/>
      <c r="S315" s="251"/>
      <c r="T315" s="251"/>
      <c r="U315" s="251"/>
      <c r="V315" s="251"/>
      <c r="W315" s="251"/>
      <c r="X315" s="251"/>
      <c r="Y315" s="251"/>
      <c r="Z315" s="251"/>
      <c r="AA315" s="251"/>
      <c r="AB315" s="251"/>
      <c r="AC315" s="251"/>
      <c r="AD315" s="251"/>
      <c r="AE315" s="251"/>
      <c r="AF315" s="251"/>
      <c r="AG315" s="251"/>
      <c r="AH315" s="251" t="s">
        <v>160</v>
      </c>
      <c r="AI315" s="251" t="s">
        <v>88</v>
      </c>
      <c r="AJ315" s="251" t="s">
        <v>88</v>
      </c>
      <c r="AK315" s="295" t="str">
        <f t="shared" si="31"/>
        <v>Not enteredTaxableTaxable</v>
      </c>
      <c r="AL315" s="251" t="str">
        <f>$AC$129</f>
        <v>You do not qualify for tax exemption under the tax treaty between Singapore and  for the following reason:</v>
      </c>
      <c r="AM315" s="251" t="s">
        <v>65</v>
      </c>
      <c r="AN315" s="251"/>
      <c r="AO315" s="251"/>
      <c r="AP315" s="251"/>
      <c r="AQ315" s="251"/>
      <c r="AR315" s="251"/>
      <c r="AS315" s="251"/>
      <c r="AT315" s="251"/>
      <c r="AU315" s="251"/>
      <c r="AV315" s="251"/>
      <c r="AW315" s="251"/>
      <c r="AX315" s="251"/>
      <c r="AY315" s="251"/>
      <c r="AZ315" s="251"/>
      <c r="BA315" s="251"/>
      <c r="BB315" s="251"/>
      <c r="BC315" s="251"/>
      <c r="BD315" s="251"/>
      <c r="BE315" s="251"/>
      <c r="BF315" s="251"/>
      <c r="BG315" s="251"/>
      <c r="BH315" s="257"/>
    </row>
    <row r="316" spans="16:60" ht="45">
      <c r="P316" s="251"/>
      <c r="Q316" s="251"/>
      <c r="R316" s="251"/>
      <c r="S316" s="251"/>
      <c r="T316" s="251"/>
      <c r="U316" s="251"/>
      <c r="V316" s="251"/>
      <c r="W316" s="251"/>
      <c r="X316" s="251"/>
      <c r="Y316" s="251"/>
      <c r="Z316" s="251"/>
      <c r="AA316" s="251"/>
      <c r="AB316" s="251"/>
      <c r="AC316" s="251"/>
      <c r="AD316" s="251"/>
      <c r="AE316" s="251"/>
      <c r="AF316" s="251"/>
      <c r="AG316" s="251"/>
      <c r="AH316" s="251" t="s">
        <v>160</v>
      </c>
      <c r="AI316" s="251" t="s">
        <v>90</v>
      </c>
      <c r="AJ316" s="251" t="s">
        <v>90</v>
      </c>
      <c r="AK316" s="295" t="str">
        <f t="shared" si="31"/>
        <v>Not enteredExemptExempt</v>
      </c>
      <c r="AL316" s="251" t="str">
        <f>$AC$137</f>
        <v>Based on the information furnished, you would qualify for exemption from Singapore income tax under the tax treaty between Singapore and . Please complete Form IR586 below.</v>
      </c>
      <c r="AM316" s="251">
        <f>""</f>
      </c>
      <c r="AN316" s="251"/>
      <c r="AO316" s="251"/>
      <c r="AP316" s="251"/>
      <c r="AQ316" s="251"/>
      <c r="AR316" s="251"/>
      <c r="AS316" s="251"/>
      <c r="AT316" s="251"/>
      <c r="AU316" s="251"/>
      <c r="AV316" s="251"/>
      <c r="AW316" s="251"/>
      <c r="AX316" s="251"/>
      <c r="AY316" s="251"/>
      <c r="AZ316" s="251"/>
      <c r="BA316" s="251"/>
      <c r="BB316" s="251"/>
      <c r="BC316" s="251"/>
      <c r="BD316" s="251"/>
      <c r="BE316" s="251"/>
      <c r="BF316" s="251"/>
      <c r="BG316" s="251"/>
      <c r="BH316" s="257"/>
    </row>
    <row r="317" spans="16:60" ht="45">
      <c r="P317" s="251"/>
      <c r="Q317" s="251"/>
      <c r="R317" s="251"/>
      <c r="S317" s="251"/>
      <c r="T317" s="251"/>
      <c r="U317" s="251"/>
      <c r="V317" s="251"/>
      <c r="W317" s="251"/>
      <c r="X317" s="251"/>
      <c r="Y317" s="251"/>
      <c r="Z317" s="251"/>
      <c r="AA317" s="251"/>
      <c r="AB317" s="251"/>
      <c r="AC317" s="251"/>
      <c r="AD317" s="251"/>
      <c r="AE317" s="251"/>
      <c r="AF317" s="251"/>
      <c r="AG317" s="251"/>
      <c r="AH317" s="251" t="s">
        <v>160</v>
      </c>
      <c r="AI317" s="251" t="s">
        <v>88</v>
      </c>
      <c r="AJ317" s="251" t="s">
        <v>90</v>
      </c>
      <c r="AK317" s="295" t="str">
        <f t="shared" si="31"/>
        <v>Not enteredTaxableExempt</v>
      </c>
      <c r="AL317" s="251" t="str">
        <f>$AC$131</f>
        <v>Year 2021:
Tax exemption applies. Please complete Form IR586 below.
Year 2022:
(a) Tax exemption does not apply for the following reason:</v>
      </c>
      <c r="AM317" s="251">
        <f>""</f>
      </c>
      <c r="AN317" s="251"/>
      <c r="AO317" s="251"/>
      <c r="AP317" s="251"/>
      <c r="AQ317" s="251"/>
      <c r="AR317" s="251"/>
      <c r="AS317" s="251"/>
      <c r="AT317" s="251"/>
      <c r="AU317" s="251"/>
      <c r="AV317" s="251"/>
      <c r="AW317" s="251"/>
      <c r="AX317" s="251"/>
      <c r="AY317" s="251"/>
      <c r="AZ317" s="251"/>
      <c r="BA317" s="251"/>
      <c r="BB317" s="251"/>
      <c r="BC317" s="251"/>
      <c r="BD317" s="251"/>
      <c r="BE317" s="251"/>
      <c r="BF317" s="251"/>
      <c r="BG317" s="251"/>
      <c r="BH317" s="257"/>
    </row>
    <row r="318" spans="16:60" ht="45">
      <c r="P318" s="251"/>
      <c r="Q318" s="251"/>
      <c r="R318" s="251"/>
      <c r="S318" s="251"/>
      <c r="T318" s="251"/>
      <c r="U318" s="251"/>
      <c r="V318" s="251"/>
      <c r="W318" s="251"/>
      <c r="X318" s="251"/>
      <c r="Y318" s="251"/>
      <c r="Z318" s="251"/>
      <c r="AA318" s="251"/>
      <c r="AB318" s="251"/>
      <c r="AC318" s="251"/>
      <c r="AD318" s="251"/>
      <c r="AE318" s="251"/>
      <c r="AF318" s="251"/>
      <c r="AG318" s="251"/>
      <c r="AH318" s="251" t="s">
        <v>160</v>
      </c>
      <c r="AI318" s="251" t="s">
        <v>90</v>
      </c>
      <c r="AJ318" s="251" t="s">
        <v>88</v>
      </c>
      <c r="AK318" s="295" t="str">
        <f t="shared" si="31"/>
        <v>Not enteredExemptTaxable</v>
      </c>
      <c r="AL318" s="251" t="str">
        <f>$AC$130</f>
        <v>Year 2022:
Tax exemption applies. Please complete Form IR586 below.
Year 2021:
(a) Tax exemption does not apply for the following reason:</v>
      </c>
      <c r="AM318" s="251">
        <f>""</f>
      </c>
      <c r="AN318" s="251"/>
      <c r="AO318" s="251"/>
      <c r="AP318" s="251"/>
      <c r="AQ318" s="251"/>
      <c r="AR318" s="251"/>
      <c r="AS318" s="251"/>
      <c r="AT318" s="251"/>
      <c r="AU318" s="251"/>
      <c r="AV318" s="251"/>
      <c r="AW318" s="251"/>
      <c r="AX318" s="251"/>
      <c r="AY318" s="251"/>
      <c r="AZ318" s="251"/>
      <c r="BA318" s="251"/>
      <c r="BB318" s="251"/>
      <c r="BC318" s="251"/>
      <c r="BD318" s="251"/>
      <c r="BE318" s="251"/>
      <c r="BF318" s="251"/>
      <c r="BG318" s="251"/>
      <c r="BH318" s="257"/>
    </row>
    <row r="319" spans="16:60" ht="16.5">
      <c r="P319" s="251"/>
      <c r="Q319" s="251"/>
      <c r="R319" s="251"/>
      <c r="S319" s="251"/>
      <c r="T319" s="251"/>
      <c r="U319" s="251"/>
      <c r="V319" s="251"/>
      <c r="W319" s="251"/>
      <c r="X319" s="251"/>
      <c r="Y319" s="251"/>
      <c r="Z319" s="251"/>
      <c r="AA319" s="251"/>
      <c r="AB319" s="251"/>
      <c r="AC319" s="251"/>
      <c r="AD319" s="251"/>
      <c r="AE319" s="251"/>
      <c r="AF319" s="251"/>
      <c r="AG319" s="251"/>
      <c r="AH319" s="251"/>
      <c r="AI319" s="251"/>
      <c r="AJ319" s="251"/>
      <c r="AK319" s="251"/>
      <c r="AL319" s="251"/>
      <c r="AM319" s="251"/>
      <c r="AN319" s="251"/>
      <c r="AO319" s="251"/>
      <c r="AP319" s="251"/>
      <c r="AQ319" s="251"/>
      <c r="AR319" s="251"/>
      <c r="AS319" s="251"/>
      <c r="AT319" s="251"/>
      <c r="AU319" s="251"/>
      <c r="AV319" s="251"/>
      <c r="AW319" s="251"/>
      <c r="AX319" s="251"/>
      <c r="AY319" s="251"/>
      <c r="AZ319" s="251"/>
      <c r="BA319" s="251"/>
      <c r="BB319" s="251"/>
      <c r="BC319" s="251"/>
      <c r="BD319" s="251"/>
      <c r="BE319" s="251"/>
      <c r="BF319" s="251"/>
      <c r="BG319" s="251"/>
      <c r="BH319" s="251"/>
    </row>
    <row r="320" spans="16:60" ht="16.5">
      <c r="P320" s="251"/>
      <c r="Q320" s="251"/>
      <c r="R320" s="251"/>
      <c r="S320" s="251"/>
      <c r="T320" s="251"/>
      <c r="U320" s="251"/>
      <c r="V320" s="251"/>
      <c r="W320" s="251"/>
      <c r="X320" s="251"/>
      <c r="Y320" s="251"/>
      <c r="Z320" s="251"/>
      <c r="AA320" s="251"/>
      <c r="AB320" s="251"/>
      <c r="AC320" s="251"/>
      <c r="AD320" s="251"/>
      <c r="AE320" s="251"/>
      <c r="AF320" s="251"/>
      <c r="AG320" s="251"/>
      <c r="AH320" s="251"/>
      <c r="AI320" s="251"/>
      <c r="AJ320" s="251"/>
      <c r="AK320" s="251"/>
      <c r="AL320" s="251"/>
      <c r="AM320" s="251"/>
      <c r="AN320" s="251"/>
      <c r="AO320" s="251"/>
      <c r="AP320" s="251"/>
      <c r="AQ320" s="251"/>
      <c r="AR320" s="251"/>
      <c r="AS320" s="251"/>
      <c r="AT320" s="251"/>
      <c r="AU320" s="251"/>
      <c r="AV320" s="251"/>
      <c r="AW320" s="251"/>
      <c r="AX320" s="251"/>
      <c r="AY320" s="251"/>
      <c r="AZ320" s="251"/>
      <c r="BA320" s="251"/>
      <c r="BB320" s="251"/>
      <c r="BC320" s="251"/>
      <c r="BD320" s="251"/>
      <c r="BE320" s="251"/>
      <c r="BF320" s="251"/>
      <c r="BG320" s="251"/>
      <c r="BH320" s="251"/>
    </row>
    <row r="321" spans="16:60" ht="30" customHeight="1">
      <c r="P321" s="251"/>
      <c r="Q321" s="251"/>
      <c r="R321" s="251"/>
      <c r="S321" s="251"/>
      <c r="T321" s="251"/>
      <c r="U321" s="251"/>
      <c r="V321" s="251"/>
      <c r="W321" s="251"/>
      <c r="X321" s="251"/>
      <c r="Y321" s="251"/>
      <c r="Z321" s="251"/>
      <c r="AA321" s="251"/>
      <c r="AB321" s="251"/>
      <c r="AC321" s="297" t="s">
        <v>193</v>
      </c>
      <c r="AD321" s="251"/>
      <c r="AE321" s="251"/>
      <c r="AF321" s="251"/>
      <c r="AG321" s="251"/>
      <c r="AH321" s="251"/>
      <c r="AI321" s="251"/>
      <c r="AJ321" s="251"/>
      <c r="AK321" s="251"/>
      <c r="AL321" s="251"/>
      <c r="AM321" s="251"/>
      <c r="AN321" s="251"/>
      <c r="AO321" s="251"/>
      <c r="AP321" s="251"/>
      <c r="AQ321" s="251"/>
      <c r="AR321" s="251"/>
      <c r="AS321" s="251"/>
      <c r="AT321" s="251"/>
      <c r="AU321" s="251"/>
      <c r="AV321" s="251"/>
      <c r="AW321" s="251"/>
      <c r="AX321" s="251"/>
      <c r="AY321" s="251"/>
      <c r="AZ321" s="251"/>
      <c r="BA321" s="251"/>
      <c r="BB321" s="251"/>
      <c r="BC321" s="251"/>
      <c r="BD321" s="251"/>
      <c r="BE321" s="251"/>
      <c r="BF321" s="251"/>
      <c r="BG321" s="251"/>
      <c r="BH321" s="251"/>
    </row>
    <row r="322" spans="16:60" ht="47.25" customHeight="1">
      <c r="P322" s="251"/>
      <c r="Q322" s="251"/>
      <c r="R322" s="251"/>
      <c r="S322" s="251"/>
      <c r="T322" s="251"/>
      <c r="U322" s="251"/>
      <c r="V322" s="251"/>
      <c r="W322" s="251"/>
      <c r="X322" s="251"/>
      <c r="Y322" s="251"/>
      <c r="Z322" s="251"/>
      <c r="AA322" s="251"/>
      <c r="AB322" s="251"/>
      <c r="AC322" s="298" t="s">
        <v>332</v>
      </c>
      <c r="AD322" s="251"/>
      <c r="AE322" s="251"/>
      <c r="AF322" s="251"/>
      <c r="AG322" s="251"/>
      <c r="AH322" s="251"/>
      <c r="AI322" s="251"/>
      <c r="AJ322" s="251"/>
      <c r="AK322" s="251"/>
      <c r="AL322" s="251"/>
      <c r="AM322" s="251"/>
      <c r="AN322" s="251"/>
      <c r="AO322" s="251"/>
      <c r="AP322" s="251"/>
      <c r="AQ322" s="251"/>
      <c r="AR322" s="251"/>
      <c r="AS322" s="251"/>
      <c r="AT322" s="251"/>
      <c r="AU322" s="251"/>
      <c r="AV322" s="251"/>
      <c r="AW322" s="251"/>
      <c r="AX322" s="251"/>
      <c r="AY322" s="251"/>
      <c r="AZ322" s="251"/>
      <c r="BA322" s="251"/>
      <c r="BB322" s="251"/>
      <c r="BC322" s="251"/>
      <c r="BD322" s="251"/>
      <c r="BE322" s="251"/>
      <c r="BF322" s="251"/>
      <c r="BG322" s="251"/>
      <c r="BH322" s="251"/>
    </row>
    <row r="323" spans="16:60" ht="16.5">
      <c r="P323" s="251"/>
      <c r="Q323" s="251"/>
      <c r="R323" s="251"/>
      <c r="S323" s="251"/>
      <c r="T323" s="251"/>
      <c r="U323" s="251"/>
      <c r="V323" s="251"/>
      <c r="W323" s="251"/>
      <c r="X323" s="251"/>
      <c r="Y323" s="251"/>
      <c r="Z323" s="251"/>
      <c r="AA323" s="251"/>
      <c r="AB323" s="251"/>
      <c r="AC323" s="297">
        <f>IF(AC327="True",IF(X101="",AC131,$O$47),IF(AC325="True",IF(X101="",AC137,$O$47),$O$47))</f>
      </c>
      <c r="AD323" s="251"/>
      <c r="AE323" s="251"/>
      <c r="AF323" s="251"/>
      <c r="AG323" s="251"/>
      <c r="AH323" s="251"/>
      <c r="AI323" s="251"/>
      <c r="AJ323" s="251"/>
      <c r="AK323" s="251"/>
      <c r="AL323" s="251"/>
      <c r="AM323" s="251"/>
      <c r="AN323" s="251"/>
      <c r="AO323" s="251"/>
      <c r="AP323" s="251"/>
      <c r="AQ323" s="251"/>
      <c r="AR323" s="251"/>
      <c r="AS323" s="251"/>
      <c r="AT323" s="251"/>
      <c r="AU323" s="251"/>
      <c r="AV323" s="251"/>
      <c r="AW323" s="251"/>
      <c r="AX323" s="251"/>
      <c r="AY323" s="251"/>
      <c r="AZ323" s="251"/>
      <c r="BA323" s="251"/>
      <c r="BB323" s="251"/>
      <c r="BC323" s="251"/>
      <c r="BD323" s="251"/>
      <c r="BE323" s="251"/>
      <c r="BF323" s="251"/>
      <c r="BG323" s="251"/>
      <c r="BH323" s="251"/>
    </row>
    <row r="324" spans="16:60" ht="16.5">
      <c r="P324" s="251"/>
      <c r="Q324" s="251"/>
      <c r="R324" s="251"/>
      <c r="S324" s="251"/>
      <c r="T324" s="251"/>
      <c r="U324" s="251"/>
      <c r="V324" s="251"/>
      <c r="W324" s="251"/>
      <c r="X324" s="251"/>
      <c r="Y324" s="251"/>
      <c r="Z324" s="251"/>
      <c r="AA324" s="251"/>
      <c r="AB324" s="297"/>
      <c r="AC324" s="299" t="s">
        <v>196</v>
      </c>
      <c r="AD324" s="329" t="s">
        <v>194</v>
      </c>
      <c r="AE324" s="329"/>
      <c r="AF324" s="329"/>
      <c r="AG324" s="329"/>
      <c r="AH324" s="329"/>
      <c r="AI324" s="329"/>
      <c r="AJ324" s="329"/>
      <c r="AK324" s="299" t="s">
        <v>195</v>
      </c>
      <c r="AL324" s="299"/>
      <c r="AM324" s="297"/>
      <c r="AN324" s="251"/>
      <c r="AO324" s="251"/>
      <c r="AP324" s="251"/>
      <c r="AQ324" s="251"/>
      <c r="AR324" s="251"/>
      <c r="AS324" s="251"/>
      <c r="AT324" s="251"/>
      <c r="AU324" s="251"/>
      <c r="AV324" s="251"/>
      <c r="AW324" s="251"/>
      <c r="AX324" s="251"/>
      <c r="AY324" s="251"/>
      <c r="AZ324" s="251"/>
      <c r="BA324" s="251"/>
      <c r="BB324" s="251"/>
      <c r="BC324" s="251"/>
      <c r="BD324" s="251"/>
      <c r="BE324" s="251"/>
      <c r="BF324" s="251"/>
      <c r="BG324" s="251"/>
      <c r="BH324" s="251"/>
    </row>
    <row r="325" spans="16:60" ht="30">
      <c r="P325" s="251"/>
      <c r="Q325" s="251"/>
      <c r="R325" s="251"/>
      <c r="S325" s="251"/>
      <c r="T325" s="251"/>
      <c r="U325" s="251"/>
      <c r="V325" s="251"/>
      <c r="W325" s="251"/>
      <c r="X325" s="251"/>
      <c r="Y325" s="251"/>
      <c r="Z325" s="251"/>
      <c r="AA325" s="251"/>
      <c r="AB325" s="300">
        <v>2013</v>
      </c>
      <c r="AC325" s="301" t="str">
        <f>IF(OR(YEAR($G$32)=AB325,YEAR($G$33)=AB325,YEAR($G$34)=AB325,YEAR($G$35)=AB325,YEAR($G$36)=AB325,YEAR($H$32)=AB325,YEAR($H$33)=AB325,YEAR($H$34)=AB325,YEAR($H$35)=AB325,YEAR($H$36)=AB325),"True","False")</f>
        <v>False</v>
      </c>
      <c r="AD325" s="323" t="s">
        <v>204</v>
      </c>
      <c r="AE325" s="323"/>
      <c r="AF325" s="323"/>
      <c r="AG325" s="323"/>
      <c r="AH325" s="323"/>
      <c r="AI325" s="323"/>
      <c r="AJ325" s="323"/>
      <c r="AK325" s="301" t="str">
        <f>CONCATENATE("D47, D50, AO",ROW(AQ288))</f>
        <v>D47, D50, AO288</v>
      </c>
      <c r="AL325" s="301"/>
      <c r="AM325" s="297"/>
      <c r="AN325" s="251"/>
      <c r="AO325" s="251"/>
      <c r="AP325" s="251"/>
      <c r="AQ325" s="251"/>
      <c r="AR325" s="251"/>
      <c r="AS325" s="251"/>
      <c r="AT325" s="251"/>
      <c r="AU325" s="251"/>
      <c r="AV325" s="251"/>
      <c r="AW325" s="251"/>
      <c r="AX325" s="251"/>
      <c r="AY325" s="251"/>
      <c r="AZ325" s="251"/>
      <c r="BA325" s="251"/>
      <c r="BB325" s="251"/>
      <c r="BC325" s="251"/>
      <c r="BD325" s="251"/>
      <c r="BE325" s="251"/>
      <c r="BF325" s="251"/>
      <c r="BG325" s="251"/>
      <c r="BH325" s="251"/>
    </row>
    <row r="326" spans="16:60" ht="16.5">
      <c r="P326" s="251"/>
      <c r="Q326" s="251"/>
      <c r="R326" s="251"/>
      <c r="S326" s="251"/>
      <c r="T326" s="251"/>
      <c r="U326" s="251"/>
      <c r="V326" s="251"/>
      <c r="W326" s="251"/>
      <c r="X326" s="251"/>
      <c r="Y326" s="251"/>
      <c r="Z326" s="251"/>
      <c r="AA326" s="251"/>
      <c r="AB326" s="300">
        <v>2014</v>
      </c>
      <c r="AC326" s="301" t="str">
        <f>IF(OR(YEAR($G$32)=AB326,YEAR($G$33)=AB326,YEAR($G$34)=AB326,YEAR($G$35)=AB326,YEAR($G$36)=AB326,YEAR($H$32)=AB326,YEAR($H$33)=AB326,YEAR($H$34)=AB326,YEAR($H$35)=AB326,YEAR($H$36)=AB326),"True","False")</f>
        <v>False</v>
      </c>
      <c r="AD326" s="323" t="s">
        <v>205</v>
      </c>
      <c r="AE326" s="323"/>
      <c r="AF326" s="323"/>
      <c r="AG326" s="323"/>
      <c r="AH326" s="323"/>
      <c r="AI326" s="323"/>
      <c r="AJ326" s="323"/>
      <c r="AK326" s="302" t="s">
        <v>223</v>
      </c>
      <c r="AL326" s="302"/>
      <c r="AM326" s="297"/>
      <c r="AN326" s="251"/>
      <c r="AO326" s="251"/>
      <c r="AP326" s="251"/>
      <c r="AQ326" s="251"/>
      <c r="AR326" s="251"/>
      <c r="AS326" s="251"/>
      <c r="AT326" s="251"/>
      <c r="AU326" s="251"/>
      <c r="AV326" s="251"/>
      <c r="AW326" s="251"/>
      <c r="AX326" s="251"/>
      <c r="AY326" s="251"/>
      <c r="AZ326" s="251"/>
      <c r="BA326" s="251"/>
      <c r="BB326" s="251"/>
      <c r="BC326" s="251"/>
      <c r="BD326" s="251"/>
      <c r="BE326" s="251"/>
      <c r="BF326" s="251"/>
      <c r="BG326" s="251"/>
      <c r="BH326" s="251"/>
    </row>
    <row r="327" spans="16:60" ht="16.5">
      <c r="P327" s="251"/>
      <c r="Q327" s="251"/>
      <c r="R327" s="251"/>
      <c r="S327" s="251"/>
      <c r="T327" s="251"/>
      <c r="U327" s="251"/>
      <c r="V327" s="251"/>
      <c r="W327" s="251"/>
      <c r="X327" s="251"/>
      <c r="Y327" s="251"/>
      <c r="Z327" s="251"/>
      <c r="AA327" s="251"/>
      <c r="AB327" s="300"/>
      <c r="AC327" s="301" t="str">
        <f>IF(AND(AC325="True",AC326="True"),"True","False")</f>
        <v>False</v>
      </c>
      <c r="AD327" s="323" t="s">
        <v>206</v>
      </c>
      <c r="AE327" s="323"/>
      <c r="AF327" s="323"/>
      <c r="AG327" s="323"/>
      <c r="AH327" s="323"/>
      <c r="AI327" s="323"/>
      <c r="AJ327" s="323"/>
      <c r="AK327" s="301"/>
      <c r="AL327" s="303" t="s">
        <v>197</v>
      </c>
      <c r="AM327" s="251"/>
      <c r="AN327" s="251"/>
      <c r="AO327" s="251"/>
      <c r="AP327" s="251"/>
      <c r="AQ327" s="251"/>
      <c r="AR327" s="251"/>
      <c r="AS327" s="251"/>
      <c r="AT327" s="251"/>
      <c r="AU327" s="251"/>
      <c r="AV327" s="251"/>
      <c r="AW327" s="251"/>
      <c r="AX327" s="251"/>
      <c r="AY327" s="251"/>
      <c r="AZ327" s="251"/>
      <c r="BA327" s="251"/>
      <c r="BB327" s="251"/>
      <c r="BC327" s="251"/>
      <c r="BD327" s="251"/>
      <c r="BE327" s="251"/>
      <c r="BF327" s="251"/>
      <c r="BG327" s="251"/>
      <c r="BH327" s="257"/>
    </row>
    <row r="328" spans="16:60" ht="32.25" customHeight="1">
      <c r="P328" s="251"/>
      <c r="Q328" s="251"/>
      <c r="R328" s="251"/>
      <c r="S328" s="251"/>
      <c r="T328" s="251"/>
      <c r="U328" s="251"/>
      <c r="V328" s="251"/>
      <c r="W328" s="251"/>
      <c r="X328" s="251"/>
      <c r="Y328" s="251"/>
      <c r="Z328" s="251"/>
      <c r="AA328" s="251"/>
      <c r="AB328" s="251"/>
      <c r="AC328" s="251"/>
      <c r="AD328" s="251"/>
      <c r="AE328" s="251"/>
      <c r="AF328" s="251"/>
      <c r="AG328" s="251"/>
      <c r="AH328" s="251"/>
      <c r="AI328" s="251"/>
      <c r="AJ328" s="251"/>
      <c r="AK328" s="251"/>
      <c r="AL328" s="251"/>
      <c r="AM328" s="251"/>
      <c r="AN328" s="251"/>
      <c r="AO328" s="251"/>
      <c r="AP328" s="251"/>
      <c r="AQ328" s="251"/>
      <c r="AR328" s="251"/>
      <c r="AS328" s="251"/>
      <c r="AT328" s="251"/>
      <c r="AU328" s="251"/>
      <c r="AV328" s="251"/>
      <c r="AW328" s="251"/>
      <c r="AX328" s="251"/>
      <c r="AY328" s="251"/>
      <c r="AZ328" s="251"/>
      <c r="BA328" s="251"/>
      <c r="BB328" s="251"/>
      <c r="BC328" s="251"/>
      <c r="BD328" s="251"/>
      <c r="BE328" s="251"/>
      <c r="BF328" s="251"/>
      <c r="BG328" s="251"/>
      <c r="BH328" s="251"/>
    </row>
    <row r="329" spans="16:60" ht="31.5" customHeight="1">
      <c r="P329" s="251"/>
      <c r="Q329" s="251"/>
      <c r="R329" s="251"/>
      <c r="S329" s="251"/>
      <c r="T329" s="251"/>
      <c r="U329" s="251"/>
      <c r="V329" s="251"/>
      <c r="W329" s="251"/>
      <c r="X329" s="251"/>
      <c r="Y329" s="251"/>
      <c r="Z329" s="251"/>
      <c r="AA329" s="251"/>
      <c r="AB329" s="251"/>
      <c r="AC329" s="297" t="s">
        <v>193</v>
      </c>
      <c r="AD329" s="251"/>
      <c r="AE329" s="251"/>
      <c r="AF329" s="251"/>
      <c r="AG329" s="251"/>
      <c r="AH329" s="251"/>
      <c r="AI329" s="251"/>
      <c r="AJ329" s="251"/>
      <c r="AK329" s="251"/>
      <c r="AL329" s="251"/>
      <c r="AM329" s="251"/>
      <c r="AN329" s="251"/>
      <c r="AO329" s="251"/>
      <c r="AP329" s="251"/>
      <c r="AQ329" s="251"/>
      <c r="AR329" s="251"/>
      <c r="AS329" s="251"/>
      <c r="AT329" s="251"/>
      <c r="AU329" s="251"/>
      <c r="AV329" s="251"/>
      <c r="AW329" s="251"/>
      <c r="AX329" s="251"/>
      <c r="AY329" s="251"/>
      <c r="AZ329" s="251"/>
      <c r="BA329" s="251"/>
      <c r="BB329" s="251"/>
      <c r="BC329" s="251"/>
      <c r="BD329" s="251"/>
      <c r="BE329" s="251"/>
      <c r="BF329" s="251"/>
      <c r="BG329" s="251"/>
      <c r="BH329" s="251"/>
    </row>
    <row r="330" spans="16:60" ht="45.75" customHeight="1">
      <c r="P330" s="251"/>
      <c r="Q330" s="251"/>
      <c r="R330" s="251"/>
      <c r="S330" s="251"/>
      <c r="T330" s="251"/>
      <c r="U330" s="251"/>
      <c r="V330" s="251"/>
      <c r="W330" s="251"/>
      <c r="X330" s="251"/>
      <c r="Y330" s="251"/>
      <c r="Z330" s="251"/>
      <c r="AA330" s="251"/>
      <c r="AB330" s="251"/>
      <c r="AC330" s="298" t="s">
        <v>333</v>
      </c>
      <c r="AD330" s="251"/>
      <c r="AE330" s="251"/>
      <c r="AF330" s="251"/>
      <c r="AG330" s="251"/>
      <c r="AH330" s="251"/>
      <c r="AI330" s="251"/>
      <c r="AJ330" s="251"/>
      <c r="AK330" s="251"/>
      <c r="AL330" s="251"/>
      <c r="AM330" s="251"/>
      <c r="AN330" s="251"/>
      <c r="AO330" s="251"/>
      <c r="AP330" s="251"/>
      <c r="AQ330" s="251"/>
      <c r="AR330" s="251"/>
      <c r="AS330" s="251"/>
      <c r="AT330" s="251"/>
      <c r="AU330" s="251"/>
      <c r="AV330" s="251"/>
      <c r="AW330" s="251"/>
      <c r="AX330" s="251"/>
      <c r="AY330" s="251"/>
      <c r="AZ330" s="251"/>
      <c r="BA330" s="251"/>
      <c r="BB330" s="251"/>
      <c r="BC330" s="251"/>
      <c r="BD330" s="251"/>
      <c r="BE330" s="251"/>
      <c r="BF330" s="251"/>
      <c r="BG330" s="251"/>
      <c r="BH330" s="251"/>
    </row>
    <row r="331" spans="16:60" ht="16.5">
      <c r="P331" s="251"/>
      <c r="Q331" s="251"/>
      <c r="R331" s="251"/>
      <c r="S331" s="251"/>
      <c r="T331" s="251"/>
      <c r="U331" s="251"/>
      <c r="V331" s="251"/>
      <c r="W331" s="251"/>
      <c r="X331" s="251"/>
      <c r="Y331" s="251"/>
      <c r="Z331" s="251"/>
      <c r="AA331" s="251"/>
      <c r="AB331" s="251"/>
      <c r="AC331" s="251"/>
      <c r="AD331" s="251"/>
      <c r="AE331" s="251"/>
      <c r="AF331" s="251"/>
      <c r="AG331" s="251"/>
      <c r="AH331" s="251"/>
      <c r="AI331" s="251"/>
      <c r="AJ331" s="251"/>
      <c r="AK331" s="251"/>
      <c r="AL331" s="251"/>
      <c r="AM331" s="251"/>
      <c r="AN331" s="251"/>
      <c r="AO331" s="251"/>
      <c r="AP331" s="251"/>
      <c r="AQ331" s="251"/>
      <c r="AR331" s="251"/>
      <c r="AS331" s="251"/>
      <c r="AT331" s="251"/>
      <c r="AU331" s="251"/>
      <c r="AV331" s="251"/>
      <c r="AW331" s="251"/>
      <c r="AX331" s="251"/>
      <c r="AY331" s="251"/>
      <c r="AZ331" s="251"/>
      <c r="BA331" s="251"/>
      <c r="BB331" s="251"/>
      <c r="BC331" s="251"/>
      <c r="BD331" s="251"/>
      <c r="BE331" s="251"/>
      <c r="BF331" s="251"/>
      <c r="BG331" s="251"/>
      <c r="BH331" s="251"/>
    </row>
    <row r="332" spans="16:60" ht="16.5">
      <c r="P332" s="251"/>
      <c r="Q332" s="251"/>
      <c r="R332" s="251"/>
      <c r="S332" s="251"/>
      <c r="T332" s="251"/>
      <c r="U332" s="251"/>
      <c r="V332" s="251"/>
      <c r="W332" s="251"/>
      <c r="X332" s="251"/>
      <c r="Y332" s="251"/>
      <c r="Z332" s="251"/>
      <c r="AA332" s="251"/>
      <c r="AB332" s="251"/>
      <c r="AC332" s="299" t="s">
        <v>196</v>
      </c>
      <c r="AD332" s="329" t="s">
        <v>194</v>
      </c>
      <c r="AE332" s="329"/>
      <c r="AF332" s="329"/>
      <c r="AG332" s="329"/>
      <c r="AH332" s="329"/>
      <c r="AI332" s="329"/>
      <c r="AJ332" s="329"/>
      <c r="AK332" s="299" t="s">
        <v>195</v>
      </c>
      <c r="AL332" s="251"/>
      <c r="AM332" s="251"/>
      <c r="AN332" s="251"/>
      <c r="AO332" s="251"/>
      <c r="AP332" s="251"/>
      <c r="AQ332" s="251"/>
      <c r="AR332" s="251"/>
      <c r="AS332" s="251"/>
      <c r="AT332" s="251"/>
      <c r="AU332" s="251"/>
      <c r="AV332" s="251"/>
      <c r="AW332" s="251"/>
      <c r="AX332" s="251"/>
      <c r="AY332" s="251"/>
      <c r="AZ332" s="251"/>
      <c r="BA332" s="251"/>
      <c r="BB332" s="251"/>
      <c r="BC332" s="251"/>
      <c r="BD332" s="251"/>
      <c r="BE332" s="251"/>
      <c r="BF332" s="251"/>
      <c r="BG332" s="251"/>
      <c r="BH332" s="257"/>
    </row>
    <row r="333" spans="16:60" ht="30.75" customHeight="1">
      <c r="P333" s="251"/>
      <c r="Q333" s="251"/>
      <c r="R333" s="251"/>
      <c r="S333" s="251"/>
      <c r="T333" s="251"/>
      <c r="U333" s="251"/>
      <c r="V333" s="251"/>
      <c r="W333" s="251"/>
      <c r="X333" s="251"/>
      <c r="Y333" s="251"/>
      <c r="Z333" s="251"/>
      <c r="AA333" s="251"/>
      <c r="AB333" s="300">
        <v>2012</v>
      </c>
      <c r="AC333" s="301" t="str">
        <f>IF(OR(YEAR($G$32)=AB333,YEAR($G$33)=AB333,YEAR($G$34)=AB333,YEAR($G$35)=AB333,YEAR($G$36)=AB333,YEAR($H$32)=AB333,YEAR($H$33)=AB333,YEAR($H$34)=AB333,YEAR($H$35)=AB333,YEAR($H$36)=AB333),"True","False")</f>
        <v>False</v>
      </c>
      <c r="AD333" s="323" t="s">
        <v>198</v>
      </c>
      <c r="AE333" s="323"/>
      <c r="AF333" s="323"/>
      <c r="AG333" s="323"/>
      <c r="AH333" s="323"/>
      <c r="AI333" s="323"/>
      <c r="AJ333" s="323"/>
      <c r="AK333" s="301" t="s">
        <v>200</v>
      </c>
      <c r="AL333" s="251"/>
      <c r="AM333" s="251"/>
      <c r="AN333" s="251"/>
      <c r="AO333" s="251"/>
      <c r="AP333" s="251"/>
      <c r="AQ333" s="251"/>
      <c r="AR333" s="251"/>
      <c r="AS333" s="251"/>
      <c r="AT333" s="251"/>
      <c r="AU333" s="251"/>
      <c r="AV333" s="251"/>
      <c r="AW333" s="251"/>
      <c r="AX333" s="251"/>
      <c r="AY333" s="251"/>
      <c r="AZ333" s="251"/>
      <c r="BA333" s="251"/>
      <c r="BB333" s="251"/>
      <c r="BC333" s="251"/>
      <c r="BD333" s="251"/>
      <c r="BE333" s="251"/>
      <c r="BF333" s="251"/>
      <c r="BG333" s="251"/>
      <c r="BH333" s="257"/>
    </row>
    <row r="334" spans="16:60" ht="16.5">
      <c r="P334" s="251"/>
      <c r="Q334" s="251"/>
      <c r="R334" s="251"/>
      <c r="S334" s="251"/>
      <c r="T334" s="251"/>
      <c r="U334" s="251"/>
      <c r="V334" s="251"/>
      <c r="W334" s="251"/>
      <c r="X334" s="251"/>
      <c r="Y334" s="251"/>
      <c r="Z334" s="251"/>
      <c r="AA334" s="251"/>
      <c r="AB334" s="300">
        <v>2013</v>
      </c>
      <c r="AC334" s="301" t="str">
        <f>IF(OR(YEAR($G$32)=AB334,YEAR($G$33)=AB334,YEAR($G$34)=AB334,YEAR($G$35)=AB334,YEAR($G$36)=AB334,YEAR($H$32)=AB334,YEAR($H$33)=AB334,YEAR($H$34)=AB334,YEAR($H$35)=AB334,YEAR($H$36)=AB334),"True","False")</f>
        <v>False</v>
      </c>
      <c r="AD334" s="323" t="s">
        <v>199</v>
      </c>
      <c r="AE334" s="323"/>
      <c r="AF334" s="323"/>
      <c r="AG334" s="323"/>
      <c r="AH334" s="323"/>
      <c r="AI334" s="323"/>
      <c r="AJ334" s="323"/>
      <c r="AK334" s="302" t="s">
        <v>207</v>
      </c>
      <c r="AL334" s="251"/>
      <c r="AM334" s="251"/>
      <c r="AN334" s="251"/>
      <c r="AO334" s="251"/>
      <c r="AP334" s="251"/>
      <c r="AQ334" s="251"/>
      <c r="AR334" s="251"/>
      <c r="AS334" s="251"/>
      <c r="AT334" s="251"/>
      <c r="AU334" s="251"/>
      <c r="AV334" s="251"/>
      <c r="AW334" s="251"/>
      <c r="AX334" s="251"/>
      <c r="AY334" s="251"/>
      <c r="AZ334" s="251"/>
      <c r="BA334" s="251"/>
      <c r="BB334" s="251"/>
      <c r="BC334" s="251"/>
      <c r="BD334" s="251"/>
      <c r="BE334" s="251"/>
      <c r="BF334" s="251"/>
      <c r="BG334" s="251"/>
      <c r="BH334" s="257"/>
    </row>
    <row r="335" spans="16:60" ht="15" customHeight="1">
      <c r="P335" s="251"/>
      <c r="Q335" s="251"/>
      <c r="R335" s="251"/>
      <c r="S335" s="251"/>
      <c r="T335" s="251"/>
      <c r="U335" s="251"/>
      <c r="V335" s="251"/>
      <c r="W335" s="251"/>
      <c r="X335" s="251"/>
      <c r="Y335" s="251"/>
      <c r="Z335" s="251"/>
      <c r="AA335" s="251"/>
      <c r="AB335" s="304"/>
      <c r="AC335" s="301" t="str">
        <f>IF(AND(AC333="True",AC334="True",MAX(YEAR($G$32),YEAR($G$33),YEAR($G$34),YEAR($G$35),YEAR($G$36))=AB333),"True","False")</f>
        <v>False</v>
      </c>
      <c r="AD335" s="323" t="s">
        <v>201</v>
      </c>
      <c r="AE335" s="323"/>
      <c r="AF335" s="323"/>
      <c r="AG335" s="323"/>
      <c r="AH335" s="323"/>
      <c r="AI335" s="323"/>
      <c r="AJ335" s="323"/>
      <c r="AK335" s="305"/>
      <c r="AL335" s="306" t="e">
        <f>AC122</f>
        <v>#N/A</v>
      </c>
      <c r="AM335" s="251"/>
      <c r="AN335" s="251"/>
      <c r="AO335" s="251"/>
      <c r="AP335" s="251"/>
      <c r="AQ335" s="251"/>
      <c r="AR335" s="251"/>
      <c r="AS335" s="251"/>
      <c r="AT335" s="251"/>
      <c r="AU335" s="251"/>
      <c r="AV335" s="251"/>
      <c r="AW335" s="251"/>
      <c r="AX335" s="251"/>
      <c r="AY335" s="251"/>
      <c r="AZ335" s="251"/>
      <c r="BA335" s="251"/>
      <c r="BB335" s="251"/>
      <c r="BC335" s="251"/>
      <c r="BD335" s="251"/>
      <c r="BE335" s="251"/>
      <c r="BF335" s="251"/>
      <c r="BG335" s="251"/>
      <c r="BH335" s="257"/>
    </row>
    <row r="336" spans="16:60" ht="15" customHeight="1">
      <c r="P336" s="251"/>
      <c r="Q336" s="251"/>
      <c r="R336" s="251"/>
      <c r="S336" s="251"/>
      <c r="T336" s="251"/>
      <c r="U336" s="251"/>
      <c r="V336" s="251"/>
      <c r="W336" s="251"/>
      <c r="X336" s="251"/>
      <c r="Y336" s="251"/>
      <c r="Z336" s="251"/>
      <c r="AA336" s="251"/>
      <c r="AB336" s="251"/>
      <c r="AC336" s="251"/>
      <c r="AD336" s="251"/>
      <c r="AE336" s="251"/>
      <c r="AF336" s="251"/>
      <c r="AG336" s="251"/>
      <c r="AH336" s="251"/>
      <c r="AI336" s="251"/>
      <c r="AJ336" s="251"/>
      <c r="AK336" s="251"/>
      <c r="AL336" s="251"/>
      <c r="AM336" s="251"/>
      <c r="AN336" s="251"/>
      <c r="AO336" s="251"/>
      <c r="AP336" s="251"/>
      <c r="AQ336" s="251"/>
      <c r="AR336" s="251"/>
      <c r="AS336" s="251"/>
      <c r="AT336" s="251"/>
      <c r="AU336" s="251"/>
      <c r="AV336" s="251"/>
      <c r="AW336" s="251"/>
      <c r="AX336" s="251"/>
      <c r="AY336" s="251"/>
      <c r="AZ336" s="251"/>
      <c r="BA336" s="251"/>
      <c r="BB336" s="251"/>
      <c r="BC336" s="251"/>
      <c r="BD336" s="251"/>
      <c r="BE336" s="251"/>
      <c r="BF336" s="251"/>
      <c r="BG336" s="251"/>
      <c r="BH336" s="257"/>
    </row>
    <row r="337" spans="16:60" ht="48" customHeight="1">
      <c r="P337" s="251"/>
      <c r="Q337" s="251"/>
      <c r="R337" s="251"/>
      <c r="S337" s="251"/>
      <c r="T337" s="251"/>
      <c r="U337" s="251"/>
      <c r="V337" s="251"/>
      <c r="W337" s="251"/>
      <c r="X337" s="251"/>
      <c r="Y337" s="251"/>
      <c r="Z337" s="251"/>
      <c r="AA337" s="251"/>
      <c r="AB337" s="297"/>
      <c r="AC337" s="297" t="s">
        <v>193</v>
      </c>
      <c r="AD337" s="297"/>
      <c r="AE337" s="297"/>
      <c r="AF337" s="297"/>
      <c r="AG337" s="297"/>
      <c r="AH337" s="297"/>
      <c r="AI337" s="297"/>
      <c r="AJ337" s="297"/>
      <c r="AK337" s="297"/>
      <c r="AL337" s="297"/>
      <c r="AM337" s="251"/>
      <c r="AN337" s="251"/>
      <c r="AO337" s="251"/>
      <c r="AP337" s="251"/>
      <c r="AQ337" s="251"/>
      <c r="AR337" s="251"/>
      <c r="AS337" s="251"/>
      <c r="AT337" s="251"/>
      <c r="AU337" s="251"/>
      <c r="AV337" s="251"/>
      <c r="AW337" s="251"/>
      <c r="AX337" s="251"/>
      <c r="AY337" s="251"/>
      <c r="AZ337" s="251"/>
      <c r="BA337" s="251"/>
      <c r="BB337" s="251"/>
      <c r="BC337" s="251"/>
      <c r="BD337" s="251"/>
      <c r="BE337" s="251"/>
      <c r="BF337" s="251"/>
      <c r="BG337" s="251"/>
      <c r="BH337" s="257"/>
    </row>
    <row r="338" spans="16:60" ht="47.25" customHeight="1">
      <c r="P338" s="251"/>
      <c r="Q338" s="251"/>
      <c r="R338" s="251"/>
      <c r="S338" s="251"/>
      <c r="T338" s="251"/>
      <c r="U338" s="251"/>
      <c r="V338" s="251"/>
      <c r="W338" s="251"/>
      <c r="X338" s="251"/>
      <c r="Y338" s="251"/>
      <c r="Z338" s="251"/>
      <c r="AA338" s="251"/>
      <c r="AB338" s="297"/>
      <c r="AC338" s="298" t="s">
        <v>334</v>
      </c>
      <c r="AD338" s="297"/>
      <c r="AE338" s="297"/>
      <c r="AF338" s="297"/>
      <c r="AG338" s="297"/>
      <c r="AH338" s="297"/>
      <c r="AI338" s="297"/>
      <c r="AJ338" s="297"/>
      <c r="AK338" s="297"/>
      <c r="AL338" s="297"/>
      <c r="AM338" s="251"/>
      <c r="AN338" s="251"/>
      <c r="AO338" s="251"/>
      <c r="AP338" s="251"/>
      <c r="AQ338" s="251"/>
      <c r="AR338" s="251"/>
      <c r="AS338" s="251"/>
      <c r="AT338" s="251"/>
      <c r="AU338" s="251"/>
      <c r="AV338" s="251"/>
      <c r="AW338" s="251"/>
      <c r="AX338" s="251"/>
      <c r="AY338" s="251"/>
      <c r="AZ338" s="251"/>
      <c r="BA338" s="251"/>
      <c r="BB338" s="251"/>
      <c r="BC338" s="251"/>
      <c r="BD338" s="251"/>
      <c r="BE338" s="251"/>
      <c r="BF338" s="251"/>
      <c r="BG338" s="251"/>
      <c r="BH338" s="257"/>
    </row>
    <row r="339" spans="16:60" ht="16.5">
      <c r="P339" s="251"/>
      <c r="Q339" s="251"/>
      <c r="R339" s="251"/>
      <c r="S339" s="251"/>
      <c r="T339" s="251"/>
      <c r="U339" s="251"/>
      <c r="V339" s="251"/>
      <c r="W339" s="251"/>
      <c r="X339" s="251"/>
      <c r="Y339" s="251"/>
      <c r="Z339" s="251"/>
      <c r="AA339" s="251"/>
      <c r="AB339" s="297"/>
      <c r="AC339" s="297">
        <f>IF(AC343="True",$AC$130,IF(AC341="True",$AC$129,$O$47))</f>
      </c>
      <c r="AD339" s="297"/>
      <c r="AE339" s="297"/>
      <c r="AF339" s="297"/>
      <c r="AG339" s="297"/>
      <c r="AH339" s="297"/>
      <c r="AI339" s="297"/>
      <c r="AJ339" s="297"/>
      <c r="AK339" s="297"/>
      <c r="AL339" s="297"/>
      <c r="AM339" s="251"/>
      <c r="AN339" s="251"/>
      <c r="AO339" s="251"/>
      <c r="AP339" s="251"/>
      <c r="AQ339" s="251"/>
      <c r="AR339" s="251"/>
      <c r="AS339" s="251"/>
      <c r="AT339" s="251"/>
      <c r="AU339" s="251"/>
      <c r="AV339" s="251"/>
      <c r="AW339" s="251"/>
      <c r="AX339" s="251"/>
      <c r="AY339" s="251"/>
      <c r="AZ339" s="251"/>
      <c r="BA339" s="251"/>
      <c r="BB339" s="251"/>
      <c r="BC339" s="251"/>
      <c r="BD339" s="251"/>
      <c r="BE339" s="251"/>
      <c r="BF339" s="251"/>
      <c r="BG339" s="251"/>
      <c r="BH339" s="257"/>
    </row>
    <row r="340" spans="16:60" ht="16.5">
      <c r="P340" s="251"/>
      <c r="Q340" s="251"/>
      <c r="R340" s="251"/>
      <c r="S340" s="251"/>
      <c r="T340" s="251"/>
      <c r="U340" s="251"/>
      <c r="V340" s="251"/>
      <c r="W340" s="251"/>
      <c r="X340" s="251"/>
      <c r="Y340" s="251"/>
      <c r="Z340" s="251"/>
      <c r="AA340" s="251"/>
      <c r="AB340" s="297"/>
      <c r="AC340" s="299" t="s">
        <v>196</v>
      </c>
      <c r="AD340" s="329" t="s">
        <v>194</v>
      </c>
      <c r="AE340" s="329"/>
      <c r="AF340" s="329"/>
      <c r="AG340" s="329"/>
      <c r="AH340" s="329"/>
      <c r="AI340" s="329"/>
      <c r="AJ340" s="329"/>
      <c r="AK340" s="299" t="s">
        <v>195</v>
      </c>
      <c r="AL340" s="297"/>
      <c r="AM340" s="251"/>
      <c r="AN340" s="251"/>
      <c r="AO340" s="251"/>
      <c r="AP340" s="251"/>
      <c r="AQ340" s="251"/>
      <c r="AR340" s="251"/>
      <c r="AS340" s="251"/>
      <c r="AT340" s="251"/>
      <c r="AU340" s="251"/>
      <c r="AV340" s="251"/>
      <c r="AW340" s="251"/>
      <c r="AX340" s="251"/>
      <c r="AY340" s="251"/>
      <c r="AZ340" s="251"/>
      <c r="BA340" s="251"/>
      <c r="BB340" s="251"/>
      <c r="BC340" s="251"/>
      <c r="BD340" s="251"/>
      <c r="BE340" s="251"/>
      <c r="BF340" s="251"/>
      <c r="BG340" s="251"/>
      <c r="BH340" s="257"/>
    </row>
    <row r="341" spans="16:60" ht="75">
      <c r="P341" s="251"/>
      <c r="Q341" s="251"/>
      <c r="R341" s="251"/>
      <c r="S341" s="251"/>
      <c r="T341" s="251"/>
      <c r="U341" s="251"/>
      <c r="V341" s="251"/>
      <c r="W341" s="251"/>
      <c r="X341" s="251"/>
      <c r="Y341" s="251"/>
      <c r="Z341" s="251"/>
      <c r="AA341" s="251"/>
      <c r="AB341" s="300">
        <v>2013</v>
      </c>
      <c r="AC341" s="301" t="str">
        <f>IF(OR(YEAR($G$32)=AB341,YEAR($G$33)=AB341,YEAR($G$34)=AB341,YEAR($G$35)=AB341,YEAR($G$36)=AB341,YEAR($H$32)=AB341,YEAR($H$33)=AB341,YEAR($H$34)=AB341,YEAR($H$35)=AB341,YEAR($H$36)=AB341),"True","False")</f>
        <v>False</v>
      </c>
      <c r="AD341" s="323" t="s">
        <v>216</v>
      </c>
      <c r="AE341" s="323"/>
      <c r="AF341" s="323"/>
      <c r="AG341" s="323"/>
      <c r="AH341" s="323"/>
      <c r="AI341" s="323"/>
      <c r="AJ341" s="323"/>
      <c r="AK341" s="301" t="str">
        <f>CONCATENATE("D47, D50, AO",ROW(AQ200),", AO",ROW(AQ222),", AO",ROW(AQ228)," &amp; AO",ROW(AQ232))</f>
        <v>D47, D50, AO200, AO222, AO228 &amp; AO232</v>
      </c>
      <c r="AL341" s="303"/>
      <c r="AM341" s="251"/>
      <c r="AN341" s="251"/>
      <c r="AO341" s="251"/>
      <c r="AP341" s="251"/>
      <c r="AQ341" s="251"/>
      <c r="AR341" s="251"/>
      <c r="AS341" s="251"/>
      <c r="AT341" s="251"/>
      <c r="AU341" s="251"/>
      <c r="AV341" s="251"/>
      <c r="AW341" s="251"/>
      <c r="AX341" s="251"/>
      <c r="AY341" s="251"/>
      <c r="AZ341" s="251"/>
      <c r="BA341" s="251"/>
      <c r="BB341" s="251"/>
      <c r="BC341" s="251"/>
      <c r="BD341" s="251"/>
      <c r="BE341" s="251"/>
      <c r="BF341" s="251"/>
      <c r="BG341" s="251"/>
      <c r="BH341" s="257"/>
    </row>
    <row r="342" spans="16:60" ht="16.5">
      <c r="P342" s="251"/>
      <c r="Q342" s="251"/>
      <c r="R342" s="251"/>
      <c r="S342" s="251"/>
      <c r="T342" s="251"/>
      <c r="U342" s="251"/>
      <c r="V342" s="251"/>
      <c r="W342" s="251"/>
      <c r="X342" s="251"/>
      <c r="Y342" s="251"/>
      <c r="Z342" s="251"/>
      <c r="AA342" s="251"/>
      <c r="AB342" s="300">
        <v>2014</v>
      </c>
      <c r="AC342" s="301" t="str">
        <f>IF(OR(YEAR($G$32)&gt;=AB342,YEAR($G$33)&gt;=AB342,YEAR($G$34)&gt;=AB342,YEAR($G$35)&gt;=AB342,YEAR($G$36)&gt;=AB342,YEAR($H$32)&gt;=AB342,YEAR($H$33)&gt;=AB342,YEAR($H$34)&gt;=AB342,YEAR($H$35)&gt;=AB342,YEAR($H$36)&gt;=AB342),"True","False")</f>
        <v>False</v>
      </c>
      <c r="AD342" s="323" t="s">
        <v>205</v>
      </c>
      <c r="AE342" s="323"/>
      <c r="AF342" s="323"/>
      <c r="AG342" s="323"/>
      <c r="AH342" s="323"/>
      <c r="AI342" s="323"/>
      <c r="AJ342" s="323"/>
      <c r="AK342" s="302" t="s">
        <v>223</v>
      </c>
      <c r="AL342" s="303"/>
      <c r="AM342" s="251"/>
      <c r="AN342" s="251"/>
      <c r="AO342" s="251"/>
      <c r="AP342" s="251"/>
      <c r="AQ342" s="251"/>
      <c r="AR342" s="251"/>
      <c r="AS342" s="251"/>
      <c r="AT342" s="251"/>
      <c r="AU342" s="251"/>
      <c r="AV342" s="251"/>
      <c r="AW342" s="251"/>
      <c r="AX342" s="251"/>
      <c r="AY342" s="251"/>
      <c r="AZ342" s="251"/>
      <c r="BA342" s="251"/>
      <c r="BB342" s="251"/>
      <c r="BC342" s="251"/>
      <c r="BD342" s="251"/>
      <c r="BE342" s="251"/>
      <c r="BF342" s="251"/>
      <c r="BG342" s="251"/>
      <c r="BH342" s="257"/>
    </row>
    <row r="343" spans="16:60" ht="16.5">
      <c r="P343" s="251"/>
      <c r="Q343" s="251"/>
      <c r="R343" s="251"/>
      <c r="S343" s="251"/>
      <c r="T343" s="251"/>
      <c r="U343" s="251"/>
      <c r="V343" s="251"/>
      <c r="W343" s="251"/>
      <c r="X343" s="251"/>
      <c r="Y343" s="251"/>
      <c r="Z343" s="251"/>
      <c r="AA343" s="251"/>
      <c r="AB343" s="300"/>
      <c r="AC343" s="301" t="str">
        <f>IF(AND(AC341="True",AC342="True"),"True","False")</f>
        <v>False</v>
      </c>
      <c r="AD343" s="323" t="s">
        <v>217</v>
      </c>
      <c r="AE343" s="323"/>
      <c r="AF343" s="323"/>
      <c r="AG343" s="323"/>
      <c r="AH343" s="323"/>
      <c r="AI343" s="323"/>
      <c r="AJ343" s="323"/>
      <c r="AK343" s="301"/>
      <c r="AL343" s="303" t="str">
        <f>CONCATENATE("- The effective date of the tax treaty between Singapore and ",$AC$188," is from 1 Jan 2014.")</f>
        <v>- The effective date of the tax treaty between Singapore and  is from 1 Jan 2014.</v>
      </c>
      <c r="AM343" s="251"/>
      <c r="AN343" s="251"/>
      <c r="AO343" s="251"/>
      <c r="AP343" s="251"/>
      <c r="AQ343" s="251"/>
      <c r="AR343" s="251"/>
      <c r="AS343" s="251"/>
      <c r="AT343" s="251"/>
      <c r="AU343" s="251"/>
      <c r="AV343" s="251"/>
      <c r="AW343" s="251"/>
      <c r="AX343" s="251"/>
      <c r="AY343" s="251"/>
      <c r="AZ343" s="251"/>
      <c r="BA343" s="251"/>
      <c r="BB343" s="251"/>
      <c r="BC343" s="251"/>
      <c r="BD343" s="251"/>
      <c r="BE343" s="251"/>
      <c r="BF343" s="251"/>
      <c r="BG343" s="251"/>
      <c r="BH343" s="257"/>
    </row>
    <row r="344" spans="16:60" ht="16.5">
      <c r="P344" s="251"/>
      <c r="Q344" s="251"/>
      <c r="R344" s="251"/>
      <c r="S344" s="251"/>
      <c r="T344" s="251"/>
      <c r="U344" s="251"/>
      <c r="V344" s="251"/>
      <c r="W344" s="251"/>
      <c r="X344" s="251"/>
      <c r="Y344" s="251"/>
      <c r="Z344" s="251"/>
      <c r="AA344" s="251"/>
      <c r="AB344" s="251"/>
      <c r="AC344" s="251"/>
      <c r="AD344" s="251"/>
      <c r="AE344" s="251"/>
      <c r="AF344" s="251"/>
      <c r="AG344" s="251"/>
      <c r="AH344" s="251"/>
      <c r="AI344" s="251"/>
      <c r="AJ344" s="251"/>
      <c r="AK344" s="251"/>
      <c r="AL344" s="251"/>
      <c r="AM344" s="251"/>
      <c r="AN344" s="251"/>
      <c r="AO344" s="251"/>
      <c r="AP344" s="251"/>
      <c r="AQ344" s="251"/>
      <c r="AR344" s="251"/>
      <c r="AS344" s="251"/>
      <c r="AT344" s="251"/>
      <c r="AU344" s="251"/>
      <c r="AV344" s="251"/>
      <c r="AW344" s="251"/>
      <c r="AX344" s="251"/>
      <c r="AY344" s="251"/>
      <c r="AZ344" s="251"/>
      <c r="BA344" s="251"/>
      <c r="BB344" s="251"/>
      <c r="BC344" s="251"/>
      <c r="BD344" s="251"/>
      <c r="BE344" s="251"/>
      <c r="BF344" s="251"/>
      <c r="BG344" s="251"/>
      <c r="BH344" s="257"/>
    </row>
    <row r="345" spans="16:60" ht="16.5">
      <c r="P345" s="251"/>
      <c r="Q345" s="251"/>
      <c r="R345" s="251"/>
      <c r="S345" s="251"/>
      <c r="T345" s="251"/>
      <c r="U345" s="251"/>
      <c r="V345" s="251"/>
      <c r="W345" s="251"/>
      <c r="X345" s="251"/>
      <c r="Y345" s="251"/>
      <c r="Z345" s="251"/>
      <c r="AA345" s="251"/>
      <c r="AB345" s="297"/>
      <c r="AC345" s="297" t="s">
        <v>193</v>
      </c>
      <c r="AD345" s="297"/>
      <c r="AE345" s="297"/>
      <c r="AF345" s="297"/>
      <c r="AG345" s="297"/>
      <c r="AH345" s="297"/>
      <c r="AI345" s="297"/>
      <c r="AJ345" s="297"/>
      <c r="AK345" s="297"/>
      <c r="AL345" s="297"/>
      <c r="AM345" s="251"/>
      <c r="AN345" s="251"/>
      <c r="AO345" s="251"/>
      <c r="AP345" s="251"/>
      <c r="AQ345" s="251"/>
      <c r="AR345" s="251"/>
      <c r="AS345" s="251"/>
      <c r="AT345" s="251"/>
      <c r="AU345" s="251"/>
      <c r="AV345" s="251"/>
      <c r="AW345" s="251"/>
      <c r="AX345" s="251"/>
      <c r="AY345" s="251"/>
      <c r="AZ345" s="251"/>
      <c r="BA345" s="251"/>
      <c r="BB345" s="251"/>
      <c r="BC345" s="251"/>
      <c r="BD345" s="251"/>
      <c r="BE345" s="251"/>
      <c r="BF345" s="251"/>
      <c r="BG345" s="251"/>
      <c r="BH345" s="257"/>
    </row>
    <row r="346" spans="16:60" ht="137.25" customHeight="1">
      <c r="P346" s="304"/>
      <c r="Q346" s="304"/>
      <c r="R346" s="304"/>
      <c r="S346" s="304"/>
      <c r="T346" s="304"/>
      <c r="U346" s="304"/>
      <c r="V346" s="251"/>
      <c r="W346" s="251"/>
      <c r="X346" s="251"/>
      <c r="Y346" s="251"/>
      <c r="Z346" s="251"/>
      <c r="AA346" s="251"/>
      <c r="AB346" s="297"/>
      <c r="AC346" s="298" t="s">
        <v>335</v>
      </c>
      <c r="AD346" s="297"/>
      <c r="AE346" s="297"/>
      <c r="AF346" s="297"/>
      <c r="AG346" s="297"/>
      <c r="AH346" s="297"/>
      <c r="AI346" s="297"/>
      <c r="AJ346" s="297"/>
      <c r="AK346" s="297"/>
      <c r="AL346" s="297"/>
      <c r="AM346" s="251"/>
      <c r="AN346" s="251"/>
      <c r="AO346" s="251"/>
      <c r="AP346" s="251"/>
      <c r="AQ346" s="251"/>
      <c r="AR346" s="251"/>
      <c r="AS346" s="251"/>
      <c r="AT346" s="251"/>
      <c r="AU346" s="251"/>
      <c r="AV346" s="251"/>
      <c r="AW346" s="251"/>
      <c r="AX346" s="251"/>
      <c r="AY346" s="251"/>
      <c r="AZ346" s="251"/>
      <c r="BA346" s="251"/>
      <c r="BB346" s="251"/>
      <c r="BC346" s="251"/>
      <c r="BD346" s="251"/>
      <c r="BE346" s="251"/>
      <c r="BF346" s="251"/>
      <c r="BG346" s="251"/>
      <c r="BH346" s="257"/>
    </row>
    <row r="347" spans="1:71" s="62" customFormat="1" ht="75.75" customHeight="1">
      <c r="A347" s="236"/>
      <c r="B347" s="61"/>
      <c r="C347" s="227"/>
      <c r="D347" s="228"/>
      <c r="E347" s="229"/>
      <c r="F347" s="229"/>
      <c r="G347" s="229"/>
      <c r="H347" s="229"/>
      <c r="I347" s="229"/>
      <c r="J347" s="229"/>
      <c r="K347" s="229"/>
      <c r="L347" s="229"/>
      <c r="M347" s="229"/>
      <c r="N347" s="228"/>
      <c r="O347" s="236"/>
      <c r="P347" s="251"/>
      <c r="Q347" s="251"/>
      <c r="R347" s="251"/>
      <c r="S347" s="251"/>
      <c r="T347" s="251"/>
      <c r="U347" s="251"/>
      <c r="V347" s="251"/>
      <c r="W347" s="251"/>
      <c r="X347" s="251"/>
      <c r="Y347" s="251"/>
      <c r="Z347" s="251"/>
      <c r="AA347" s="251"/>
      <c r="AB347" s="297"/>
      <c r="AC347" s="297">
        <f>IF(AC351="True",$AC$130,IF(AC349="True",$AC$129,$O$47))</f>
      </c>
      <c r="AD347" s="297"/>
      <c r="AE347" s="297"/>
      <c r="AF347" s="297"/>
      <c r="AG347" s="297"/>
      <c r="AH347" s="297"/>
      <c r="AI347" s="297"/>
      <c r="AJ347" s="297"/>
      <c r="AK347" s="297"/>
      <c r="AL347" s="297"/>
      <c r="AM347" s="251"/>
      <c r="AN347" s="251"/>
      <c r="AO347" s="251"/>
      <c r="AP347" s="251"/>
      <c r="AQ347" s="251"/>
      <c r="AR347" s="251"/>
      <c r="AS347" s="251"/>
      <c r="AT347" s="251"/>
      <c r="AU347" s="251"/>
      <c r="AV347" s="251"/>
      <c r="AW347" s="251"/>
      <c r="AX347" s="251"/>
      <c r="AY347" s="251"/>
      <c r="AZ347" s="251"/>
      <c r="BA347" s="251"/>
      <c r="BB347" s="251"/>
      <c r="BC347" s="251"/>
      <c r="BD347" s="251"/>
      <c r="BE347" s="251"/>
      <c r="BF347" s="251"/>
      <c r="BG347" s="251"/>
      <c r="BH347" s="257"/>
      <c r="BI347" s="243"/>
      <c r="BJ347" s="56"/>
      <c r="BK347" s="56"/>
      <c r="BL347" s="56"/>
      <c r="BM347" s="56"/>
      <c r="BN347" s="56"/>
      <c r="BO347" s="56"/>
      <c r="BP347" s="56"/>
      <c r="BQ347" s="56"/>
      <c r="BR347" s="56"/>
      <c r="BS347" s="56"/>
    </row>
    <row r="348" spans="16:60" ht="16.5">
      <c r="P348" s="251"/>
      <c r="Q348" s="251"/>
      <c r="R348" s="251"/>
      <c r="S348" s="251"/>
      <c r="T348" s="251"/>
      <c r="U348" s="251"/>
      <c r="V348" s="251"/>
      <c r="W348" s="251"/>
      <c r="X348" s="251"/>
      <c r="Y348" s="251"/>
      <c r="Z348" s="251"/>
      <c r="AA348" s="251"/>
      <c r="AB348" s="297"/>
      <c r="AC348" s="299" t="s">
        <v>196</v>
      </c>
      <c r="AD348" s="329" t="s">
        <v>194</v>
      </c>
      <c r="AE348" s="329"/>
      <c r="AF348" s="329"/>
      <c r="AG348" s="329"/>
      <c r="AH348" s="329"/>
      <c r="AI348" s="329"/>
      <c r="AJ348" s="329"/>
      <c r="AK348" s="299" t="s">
        <v>195</v>
      </c>
      <c r="AL348" s="297"/>
      <c r="AM348" s="251"/>
      <c r="AN348" s="251"/>
      <c r="AO348" s="251"/>
      <c r="AP348" s="251"/>
      <c r="AQ348" s="251"/>
      <c r="AR348" s="251"/>
      <c r="AS348" s="251"/>
      <c r="AT348" s="251"/>
      <c r="AU348" s="251"/>
      <c r="AV348" s="251"/>
      <c r="AW348" s="251"/>
      <c r="AX348" s="251"/>
      <c r="AY348" s="251"/>
      <c r="AZ348" s="251"/>
      <c r="BA348" s="251"/>
      <c r="BB348" s="251"/>
      <c r="BC348" s="251"/>
      <c r="BD348" s="251"/>
      <c r="BE348" s="251"/>
      <c r="BF348" s="251"/>
      <c r="BG348" s="251"/>
      <c r="BH348" s="257"/>
    </row>
    <row r="349" spans="16:60" ht="60">
      <c r="P349" s="251"/>
      <c r="Q349" s="251"/>
      <c r="R349" s="251"/>
      <c r="S349" s="251"/>
      <c r="T349" s="251"/>
      <c r="U349" s="251"/>
      <c r="V349" s="251"/>
      <c r="W349" s="251"/>
      <c r="X349" s="251"/>
      <c r="Y349" s="251"/>
      <c r="Z349" s="251"/>
      <c r="AA349" s="251"/>
      <c r="AB349" s="300">
        <v>2014</v>
      </c>
      <c r="AC349" s="301" t="str">
        <f>IF(OR(YEAR($G$32)=AB349,YEAR($G$33)=AB349,YEAR($G$34)=AB349,YEAR($G$35)=AB349,YEAR($G$36)=AB349,YEAR($H$32)=AB349,YEAR($H$33)=AB349,YEAR($H$34)=AB349,YEAR($H$35)=AB349,YEAR($H$36)=AB349),"True","False")</f>
        <v>False</v>
      </c>
      <c r="AD349" s="323" t="s">
        <v>219</v>
      </c>
      <c r="AE349" s="323"/>
      <c r="AF349" s="323"/>
      <c r="AG349" s="323"/>
      <c r="AH349" s="323"/>
      <c r="AI349" s="323"/>
      <c r="AJ349" s="323"/>
      <c r="AK349" s="301" t="str">
        <f>CONCATENATE("D47, D50, AO",ROW(AQ197),", AO",ROW(AQ239)," &amp; AO",ROW(AQ247))</f>
        <v>D47, D50, AO197, AO239 &amp; AO247</v>
      </c>
      <c r="AL349" s="303"/>
      <c r="AM349" s="251"/>
      <c r="AN349" s="251"/>
      <c r="AO349" s="251"/>
      <c r="AP349" s="251"/>
      <c r="AQ349" s="251"/>
      <c r="AR349" s="251"/>
      <c r="AS349" s="251"/>
      <c r="AT349" s="251"/>
      <c r="AU349" s="251"/>
      <c r="AV349" s="251"/>
      <c r="AW349" s="251"/>
      <c r="AX349" s="251"/>
      <c r="AY349" s="251"/>
      <c r="AZ349" s="251"/>
      <c r="BA349" s="251"/>
      <c r="BB349" s="251"/>
      <c r="BC349" s="251"/>
      <c r="BD349" s="251"/>
      <c r="BE349" s="251"/>
      <c r="BF349" s="251"/>
      <c r="BG349" s="251"/>
      <c r="BH349" s="257"/>
    </row>
    <row r="350" spans="16:60" ht="16.5">
      <c r="P350" s="251"/>
      <c r="Q350" s="251"/>
      <c r="R350" s="251"/>
      <c r="S350" s="251"/>
      <c r="T350" s="251"/>
      <c r="U350" s="251"/>
      <c r="V350" s="251"/>
      <c r="W350" s="251"/>
      <c r="X350" s="251"/>
      <c r="Y350" s="251"/>
      <c r="Z350" s="251"/>
      <c r="AA350" s="251"/>
      <c r="AB350" s="300">
        <v>2015</v>
      </c>
      <c r="AC350" s="301" t="str">
        <f>IF(OR(YEAR($G$32)&gt;=AB350,YEAR($G$33)&gt;=AB350,YEAR($G$34)&gt;=AB350,YEAR($G$35)&gt;=AB350,YEAR($G$36)&gt;=AB350,YEAR($H$32)&gt;=AB350,YEAR($H$33)&gt;=AB350,YEAR($H$34)&gt;=AB350,YEAR($H$35)&gt;=AB350,YEAR($H$36)&gt;=AB350),"True","False")</f>
        <v>False</v>
      </c>
      <c r="AD350" s="323" t="s">
        <v>205</v>
      </c>
      <c r="AE350" s="323"/>
      <c r="AF350" s="323"/>
      <c r="AG350" s="323"/>
      <c r="AH350" s="323"/>
      <c r="AI350" s="323"/>
      <c r="AJ350" s="323"/>
      <c r="AK350" s="302" t="s">
        <v>233</v>
      </c>
      <c r="AL350" s="303"/>
      <c r="AM350" s="251"/>
      <c r="AN350" s="251"/>
      <c r="AO350" s="251"/>
      <c r="AP350" s="251"/>
      <c r="AQ350" s="251"/>
      <c r="AR350" s="251"/>
      <c r="AS350" s="251"/>
      <c r="AT350" s="251"/>
      <c r="AU350" s="251"/>
      <c r="AV350" s="251"/>
      <c r="AW350" s="251"/>
      <c r="AX350" s="251"/>
      <c r="AY350" s="251"/>
      <c r="AZ350" s="251"/>
      <c r="BA350" s="251"/>
      <c r="BB350" s="251"/>
      <c r="BC350" s="251"/>
      <c r="BD350" s="251"/>
      <c r="BE350" s="251"/>
      <c r="BF350" s="251"/>
      <c r="BG350" s="251"/>
      <c r="BH350" s="257"/>
    </row>
    <row r="351" spans="16:60" ht="16.5">
      <c r="P351" s="251"/>
      <c r="Q351" s="251"/>
      <c r="R351" s="251"/>
      <c r="S351" s="251"/>
      <c r="T351" s="251"/>
      <c r="U351" s="251"/>
      <c r="V351" s="251"/>
      <c r="W351" s="251"/>
      <c r="X351" s="251"/>
      <c r="Y351" s="251"/>
      <c r="Z351" s="251"/>
      <c r="AA351" s="251"/>
      <c r="AB351" s="304"/>
      <c r="AC351" s="301" t="str">
        <f>IF(AND(AC349="True",AC350="True"),"True","False")</f>
        <v>False</v>
      </c>
      <c r="AD351" s="323" t="s">
        <v>220</v>
      </c>
      <c r="AE351" s="323"/>
      <c r="AF351" s="323"/>
      <c r="AG351" s="323"/>
      <c r="AH351" s="323"/>
      <c r="AI351" s="323"/>
      <c r="AJ351" s="323"/>
      <c r="AK351" s="301"/>
      <c r="AL351" s="303" t="str">
        <f>CONCATENATE("- The effective date of the tax treaty between Singapore and ",$AC$188," is from 1 Jan 2015.")</f>
        <v>- The effective date of the tax treaty between Singapore and  is from 1 Jan 2015.</v>
      </c>
      <c r="AM351" s="251"/>
      <c r="AN351" s="251"/>
      <c r="AO351" s="251"/>
      <c r="AP351" s="251"/>
      <c r="AQ351" s="251"/>
      <c r="AR351" s="251"/>
      <c r="AS351" s="251"/>
      <c r="AT351" s="251"/>
      <c r="AU351" s="251"/>
      <c r="AV351" s="251"/>
      <c r="AW351" s="251"/>
      <c r="AX351" s="251"/>
      <c r="AY351" s="251"/>
      <c r="AZ351" s="251"/>
      <c r="BA351" s="251"/>
      <c r="BB351" s="251"/>
      <c r="BC351" s="251"/>
      <c r="BD351" s="251"/>
      <c r="BE351" s="251"/>
      <c r="BF351" s="251"/>
      <c r="BG351" s="251"/>
      <c r="BH351" s="257"/>
    </row>
    <row r="352" spans="16:60" ht="16.5">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1"/>
      <c r="AY352" s="251"/>
      <c r="AZ352" s="251"/>
      <c r="BA352" s="251"/>
      <c r="BB352" s="251"/>
      <c r="BC352" s="251"/>
      <c r="BD352" s="251"/>
      <c r="BE352" s="251"/>
      <c r="BF352" s="251"/>
      <c r="BG352" s="251"/>
      <c r="BH352" s="257"/>
    </row>
    <row r="353" spans="16:60" ht="16.5">
      <c r="P353" s="251"/>
      <c r="Q353" s="251"/>
      <c r="R353" s="251"/>
      <c r="S353" s="251"/>
      <c r="T353" s="251"/>
      <c r="U353" s="251"/>
      <c r="V353" s="251"/>
      <c r="W353" s="251"/>
      <c r="X353" s="251"/>
      <c r="Y353" s="251"/>
      <c r="Z353" s="251"/>
      <c r="AA353" s="251"/>
      <c r="AB353" s="297"/>
      <c r="AC353" s="297" t="s">
        <v>193</v>
      </c>
      <c r="AD353" s="297"/>
      <c r="AE353" s="297"/>
      <c r="AF353" s="297"/>
      <c r="AG353" s="297"/>
      <c r="AH353" s="297"/>
      <c r="AI353" s="297"/>
      <c r="AJ353" s="297"/>
      <c r="AK353" s="297"/>
      <c r="AL353" s="251"/>
      <c r="AM353" s="251"/>
      <c r="AN353" s="251"/>
      <c r="AO353" s="251"/>
      <c r="AP353" s="251"/>
      <c r="AQ353" s="251"/>
      <c r="AR353" s="251"/>
      <c r="AS353" s="251"/>
      <c r="AT353" s="251"/>
      <c r="AU353" s="251"/>
      <c r="AV353" s="251"/>
      <c r="AW353" s="251"/>
      <c r="AX353" s="251"/>
      <c r="AY353" s="251"/>
      <c r="AZ353" s="251"/>
      <c r="BA353" s="251"/>
      <c r="BB353" s="251"/>
      <c r="BC353" s="251"/>
      <c r="BD353" s="251"/>
      <c r="BE353" s="251"/>
      <c r="BF353" s="251"/>
      <c r="BG353" s="251"/>
      <c r="BH353" s="257"/>
    </row>
    <row r="354" spans="16:60" ht="16.5">
      <c r="P354" s="251"/>
      <c r="Q354" s="251"/>
      <c r="R354" s="251"/>
      <c r="S354" s="251"/>
      <c r="T354" s="251"/>
      <c r="U354" s="251"/>
      <c r="V354" s="251"/>
      <c r="W354" s="251"/>
      <c r="X354" s="251"/>
      <c r="Y354" s="251"/>
      <c r="Z354" s="251"/>
      <c r="AA354" s="251"/>
      <c r="AB354" s="297"/>
      <c r="AC354" s="298" t="s">
        <v>336</v>
      </c>
      <c r="AD354" s="297"/>
      <c r="AE354" s="297"/>
      <c r="AF354" s="297"/>
      <c r="AG354" s="297"/>
      <c r="AH354" s="297"/>
      <c r="AI354" s="297"/>
      <c r="AJ354" s="297"/>
      <c r="AK354" s="297"/>
      <c r="AL354" s="251"/>
      <c r="AM354" s="251"/>
      <c r="AN354" s="251"/>
      <c r="AO354" s="251"/>
      <c r="AP354" s="251"/>
      <c r="AQ354" s="251"/>
      <c r="AR354" s="251"/>
      <c r="AS354" s="251"/>
      <c r="AT354" s="251"/>
      <c r="AU354" s="251"/>
      <c r="AV354" s="251"/>
      <c r="AW354" s="251"/>
      <c r="AX354" s="251"/>
      <c r="AY354" s="251"/>
      <c r="AZ354" s="251"/>
      <c r="BA354" s="251"/>
      <c r="BB354" s="251"/>
      <c r="BC354" s="251"/>
      <c r="BD354" s="251"/>
      <c r="BE354" s="251"/>
      <c r="BF354" s="251"/>
      <c r="BG354" s="251"/>
      <c r="BH354" s="257"/>
    </row>
    <row r="355" spans="16:60" ht="16.5">
      <c r="P355" s="251"/>
      <c r="Q355" s="251"/>
      <c r="R355" s="251"/>
      <c r="S355" s="251"/>
      <c r="T355" s="251"/>
      <c r="U355" s="251"/>
      <c r="V355" s="251"/>
      <c r="W355" s="251"/>
      <c r="X355" s="251"/>
      <c r="Y355" s="251"/>
      <c r="Z355" s="251"/>
      <c r="AA355" s="251"/>
      <c r="AB355" s="297"/>
      <c r="AC355" s="297">
        <f>IF(AC359="True",$AC$130,IF(AC357="True",$AC$129,$O$47))</f>
      </c>
      <c r="AD355" s="297"/>
      <c r="AE355" s="297"/>
      <c r="AF355" s="297"/>
      <c r="AG355" s="297"/>
      <c r="AH355" s="297"/>
      <c r="AI355" s="297"/>
      <c r="AJ355" s="297"/>
      <c r="AK355" s="297"/>
      <c r="AL355" s="251"/>
      <c r="AM355" s="251"/>
      <c r="AN355" s="251"/>
      <c r="AO355" s="251"/>
      <c r="AP355" s="251"/>
      <c r="AQ355" s="251"/>
      <c r="AR355" s="251"/>
      <c r="AS355" s="251"/>
      <c r="AT355" s="251"/>
      <c r="AU355" s="251"/>
      <c r="AV355" s="251"/>
      <c r="AW355" s="251"/>
      <c r="AX355" s="251"/>
      <c r="AY355" s="251"/>
      <c r="AZ355" s="251"/>
      <c r="BA355" s="251"/>
      <c r="BB355" s="251"/>
      <c r="BC355" s="251"/>
      <c r="BD355" s="251"/>
      <c r="BE355" s="251"/>
      <c r="BF355" s="251"/>
      <c r="BG355" s="251"/>
      <c r="BH355" s="257"/>
    </row>
    <row r="356" spans="16:60" ht="16.5">
      <c r="P356" s="251"/>
      <c r="Q356" s="251"/>
      <c r="R356" s="251"/>
      <c r="S356" s="251"/>
      <c r="T356" s="251"/>
      <c r="U356" s="251"/>
      <c r="V356" s="251"/>
      <c r="W356" s="251"/>
      <c r="X356" s="251"/>
      <c r="Y356" s="251"/>
      <c r="Z356" s="251"/>
      <c r="AA356" s="251"/>
      <c r="AB356" s="297"/>
      <c r="AC356" s="299" t="s">
        <v>196</v>
      </c>
      <c r="AD356" s="329" t="s">
        <v>194</v>
      </c>
      <c r="AE356" s="329"/>
      <c r="AF356" s="329"/>
      <c r="AG356" s="329"/>
      <c r="AH356" s="329"/>
      <c r="AI356" s="329"/>
      <c r="AJ356" s="329"/>
      <c r="AK356" s="299" t="s">
        <v>195</v>
      </c>
      <c r="AL356" s="251"/>
      <c r="AM356" s="251"/>
      <c r="AN356" s="251"/>
      <c r="AO356" s="251"/>
      <c r="AP356" s="251"/>
      <c r="AQ356" s="251"/>
      <c r="AR356" s="251"/>
      <c r="AS356" s="251"/>
      <c r="AT356" s="251"/>
      <c r="AU356" s="251"/>
      <c r="AV356" s="251"/>
      <c r="AW356" s="251"/>
      <c r="AX356" s="251"/>
      <c r="AY356" s="251"/>
      <c r="AZ356" s="251"/>
      <c r="BA356" s="251"/>
      <c r="BB356" s="251"/>
      <c r="BC356" s="251"/>
      <c r="BD356" s="251"/>
      <c r="BE356" s="251"/>
      <c r="BF356" s="251"/>
      <c r="BG356" s="251"/>
      <c r="BH356" s="257"/>
    </row>
    <row r="357" spans="16:60" ht="16.5">
      <c r="P357" s="251"/>
      <c r="Q357" s="251"/>
      <c r="R357" s="251"/>
      <c r="S357" s="251"/>
      <c r="T357" s="251"/>
      <c r="U357" s="251"/>
      <c r="V357" s="251"/>
      <c r="W357" s="251"/>
      <c r="X357" s="251"/>
      <c r="Y357" s="251"/>
      <c r="Z357" s="251"/>
      <c r="AA357" s="251"/>
      <c r="AB357" s="300">
        <v>2015</v>
      </c>
      <c r="AC357" s="301" t="str">
        <f>IF(OR(YEAR($G$32)=AB357,YEAR($G$33)=AB357,YEAR($G$34)=AB357,YEAR($G$35)=AB357,YEAR($G$36)=AB357,YEAR($H$32)=AB357,YEAR($H$33)=AB357,YEAR($H$34)=AB357,YEAR($H$35)=AB357,YEAR($H$36)=AB357),"True","False")</f>
        <v>False</v>
      </c>
      <c r="AD357" s="323" t="s">
        <v>230</v>
      </c>
      <c r="AE357" s="323"/>
      <c r="AF357" s="323"/>
      <c r="AG357" s="323"/>
      <c r="AH357" s="323"/>
      <c r="AI357" s="323"/>
      <c r="AJ357" s="323"/>
      <c r="AK357" s="323" t="str">
        <f>CONCATENATE("D47, D50, AO",ROW(AQ212),", AO",ROW(AQ241),", AO",ROW(AQ264)," &amp; AO",ROW(AQ267))</f>
        <v>D47, D50, AO212, AO241, AO264 &amp; AO267</v>
      </c>
      <c r="AL357" s="306"/>
      <c r="AM357" s="251"/>
      <c r="AN357" s="251"/>
      <c r="AO357" s="251"/>
      <c r="AP357" s="251"/>
      <c r="AQ357" s="251"/>
      <c r="AR357" s="251"/>
      <c r="AS357" s="251"/>
      <c r="AT357" s="251"/>
      <c r="AU357" s="251"/>
      <c r="AV357" s="251"/>
      <c r="AW357" s="251"/>
      <c r="AX357" s="251"/>
      <c r="AY357" s="251"/>
      <c r="AZ357" s="251"/>
      <c r="BA357" s="251"/>
      <c r="BB357" s="251"/>
      <c r="BC357" s="251"/>
      <c r="BD357" s="251"/>
      <c r="BE357" s="251"/>
      <c r="BF357" s="251"/>
      <c r="BG357" s="251"/>
      <c r="BH357" s="257"/>
    </row>
    <row r="358" spans="16:60" ht="16.5">
      <c r="P358" s="251"/>
      <c r="Q358" s="251"/>
      <c r="R358" s="251"/>
      <c r="S358" s="251"/>
      <c r="T358" s="251"/>
      <c r="U358" s="251"/>
      <c r="V358" s="251"/>
      <c r="W358" s="251"/>
      <c r="X358" s="251"/>
      <c r="Y358" s="251"/>
      <c r="Z358" s="251"/>
      <c r="AA358" s="251"/>
      <c r="AB358" s="300">
        <v>2016</v>
      </c>
      <c r="AC358" s="301" t="str">
        <f>IF(OR(YEAR($G$32)&gt;=AB358,YEAR($G$33)&gt;=AB358,YEAR($G$34)&gt;=AB358,YEAR($G$35)&gt;=AB358,YEAR($G$36)&gt;=AB358,YEAR($H$32)&gt;=AB358,YEAR($H$33)&gt;=AB358,YEAR($H$34)&gt;=AB358,YEAR($H$35)&gt;=AB358,YEAR($H$36)&gt;=AB358),"True","False")</f>
        <v>False</v>
      </c>
      <c r="AD358" s="323" t="s">
        <v>231</v>
      </c>
      <c r="AE358" s="323"/>
      <c r="AF358" s="323"/>
      <c r="AG358" s="323"/>
      <c r="AH358" s="323"/>
      <c r="AI358" s="323"/>
      <c r="AJ358" s="323"/>
      <c r="AK358" s="323"/>
      <c r="AL358" s="302" t="s">
        <v>238</v>
      </c>
      <c r="AM358" s="251"/>
      <c r="AN358" s="251"/>
      <c r="AO358" s="251"/>
      <c r="AP358" s="251"/>
      <c r="AQ358" s="251"/>
      <c r="AR358" s="251"/>
      <c r="AS358" s="251"/>
      <c r="AT358" s="251"/>
      <c r="AU358" s="251"/>
      <c r="AV358" s="251"/>
      <c r="AW358" s="251"/>
      <c r="AX358" s="251"/>
      <c r="AY358" s="251"/>
      <c r="AZ358" s="251"/>
      <c r="BA358" s="251"/>
      <c r="BB358" s="251"/>
      <c r="BC358" s="251"/>
      <c r="BD358" s="251"/>
      <c r="BE358" s="251"/>
      <c r="BF358" s="251"/>
      <c r="BG358" s="251"/>
      <c r="BH358" s="257"/>
    </row>
    <row r="359" spans="16:60" ht="16.5">
      <c r="P359" s="251"/>
      <c r="Q359" s="251"/>
      <c r="R359" s="251"/>
      <c r="S359" s="251"/>
      <c r="T359" s="251"/>
      <c r="U359" s="251"/>
      <c r="V359" s="251"/>
      <c r="W359" s="251"/>
      <c r="X359" s="251"/>
      <c r="Y359" s="251"/>
      <c r="Z359" s="251"/>
      <c r="AA359" s="251"/>
      <c r="AB359" s="300"/>
      <c r="AC359" s="301" t="str">
        <f>IF(AND(AC357="True",AC358="True"),"True","False")</f>
        <v>False</v>
      </c>
      <c r="AD359" s="323" t="s">
        <v>232</v>
      </c>
      <c r="AE359" s="323"/>
      <c r="AF359" s="323"/>
      <c r="AG359" s="323"/>
      <c r="AH359" s="323"/>
      <c r="AI359" s="323"/>
      <c r="AJ359" s="323"/>
      <c r="AK359" s="301"/>
      <c r="AL359" s="306" t="str">
        <f>CONCATENATE("- The effective date of the tax treaty between Singapore and ",$AC$188," is from 1 Jan 2016.")</f>
        <v>- The effective date of the tax treaty between Singapore and  is from 1 Jan 2016.</v>
      </c>
      <c r="AM359" s="251"/>
      <c r="AN359" s="251"/>
      <c r="AO359" s="251"/>
      <c r="AP359" s="251"/>
      <c r="AQ359" s="251"/>
      <c r="AR359" s="251"/>
      <c r="AS359" s="251"/>
      <c r="AT359" s="251"/>
      <c r="AU359" s="251"/>
      <c r="AV359" s="251"/>
      <c r="AW359" s="251"/>
      <c r="AX359" s="251"/>
      <c r="AY359" s="251"/>
      <c r="AZ359" s="251"/>
      <c r="BA359" s="251"/>
      <c r="BB359" s="251"/>
      <c r="BC359" s="251"/>
      <c r="BD359" s="251"/>
      <c r="BE359" s="251"/>
      <c r="BF359" s="251"/>
      <c r="BG359" s="251"/>
      <c r="BH359" s="257"/>
    </row>
    <row r="360" spans="16:60" ht="16.5">
      <c r="P360" s="251"/>
      <c r="Q360" s="251"/>
      <c r="R360" s="251"/>
      <c r="S360" s="251"/>
      <c r="T360" s="251"/>
      <c r="U360" s="251"/>
      <c r="V360" s="251"/>
      <c r="W360" s="251"/>
      <c r="X360" s="251"/>
      <c r="Y360" s="251"/>
      <c r="Z360" s="251"/>
      <c r="AA360" s="251"/>
      <c r="AB360" s="251"/>
      <c r="AC360" s="251"/>
      <c r="AD360" s="251"/>
      <c r="AE360" s="251"/>
      <c r="AF360" s="251"/>
      <c r="AG360" s="251"/>
      <c r="AH360" s="251"/>
      <c r="AI360" s="251"/>
      <c r="AJ360" s="251"/>
      <c r="AK360" s="251"/>
      <c r="AL360" s="251"/>
      <c r="AM360" s="251"/>
      <c r="AN360" s="251"/>
      <c r="AO360" s="251"/>
      <c r="AP360" s="251"/>
      <c r="AQ360" s="251"/>
      <c r="AR360" s="251"/>
      <c r="AS360" s="251"/>
      <c r="AT360" s="251"/>
      <c r="AU360" s="251"/>
      <c r="AV360" s="251"/>
      <c r="AW360" s="251"/>
      <c r="AX360" s="251"/>
      <c r="AY360" s="251"/>
      <c r="AZ360" s="251"/>
      <c r="BA360" s="251"/>
      <c r="BB360" s="251"/>
      <c r="BC360" s="251"/>
      <c r="BD360" s="251"/>
      <c r="BE360" s="251"/>
      <c r="BF360" s="251"/>
      <c r="BG360" s="251"/>
      <c r="BH360" s="257"/>
    </row>
    <row r="361" spans="16:60" ht="16.5">
      <c r="P361" s="251"/>
      <c r="Q361" s="251"/>
      <c r="R361" s="251"/>
      <c r="S361" s="251"/>
      <c r="T361" s="251"/>
      <c r="U361" s="251"/>
      <c r="V361" s="251"/>
      <c r="W361" s="251"/>
      <c r="X361" s="251"/>
      <c r="Y361" s="251"/>
      <c r="Z361" s="251"/>
      <c r="AA361" s="251"/>
      <c r="AB361" s="251"/>
      <c r="AC361" s="251" t="s">
        <v>193</v>
      </c>
      <c r="AD361" s="251"/>
      <c r="AE361" s="251"/>
      <c r="AF361" s="251"/>
      <c r="AG361" s="251"/>
      <c r="AH361" s="251"/>
      <c r="AI361" s="251"/>
      <c r="AJ361" s="251"/>
      <c r="AK361" s="251"/>
      <c r="AL361" s="251"/>
      <c r="AM361" s="251"/>
      <c r="AN361" s="251"/>
      <c r="AO361" s="251"/>
      <c r="AP361" s="251"/>
      <c r="AQ361" s="251"/>
      <c r="AR361" s="251"/>
      <c r="AS361" s="251"/>
      <c r="AT361" s="251"/>
      <c r="AU361" s="251"/>
      <c r="AV361" s="251"/>
      <c r="AW361" s="251"/>
      <c r="AX361" s="251"/>
      <c r="AY361" s="251"/>
      <c r="AZ361" s="251"/>
      <c r="BA361" s="251"/>
      <c r="BB361" s="251"/>
      <c r="BC361" s="251"/>
      <c r="BD361" s="251"/>
      <c r="BE361" s="251"/>
      <c r="BF361" s="251"/>
      <c r="BG361" s="251"/>
      <c r="BH361" s="257"/>
    </row>
    <row r="362" spans="16:60" ht="32.25" customHeight="1">
      <c r="P362" s="251"/>
      <c r="Q362" s="251"/>
      <c r="R362" s="251"/>
      <c r="S362" s="251"/>
      <c r="T362" s="251"/>
      <c r="U362" s="251"/>
      <c r="V362" s="251"/>
      <c r="W362" s="251"/>
      <c r="X362" s="251"/>
      <c r="Y362" s="251"/>
      <c r="Z362" s="251"/>
      <c r="AA362" s="251"/>
      <c r="AB362" s="251"/>
      <c r="AC362" s="332" t="s">
        <v>294</v>
      </c>
      <c r="AD362" s="332"/>
      <c r="AE362" s="251"/>
      <c r="AF362" s="251" t="s">
        <v>337</v>
      </c>
      <c r="AG362" s="251"/>
      <c r="AH362" s="251"/>
      <c r="AI362" s="251"/>
      <c r="AJ362" s="251"/>
      <c r="AK362" s="251"/>
      <c r="AL362" s="251"/>
      <c r="AM362" s="251"/>
      <c r="AN362" s="251"/>
      <c r="AO362" s="251"/>
      <c r="AP362" s="251"/>
      <c r="AQ362" s="251"/>
      <c r="AR362" s="251"/>
      <c r="AS362" s="275" t="s">
        <v>295</v>
      </c>
      <c r="AT362" s="251"/>
      <c r="AU362" s="251"/>
      <c r="AV362" s="251"/>
      <c r="AW362" s="251"/>
      <c r="AX362" s="251"/>
      <c r="AY362" s="251"/>
      <c r="AZ362" s="251"/>
      <c r="BA362" s="251"/>
      <c r="BB362" s="251"/>
      <c r="BC362" s="251"/>
      <c r="BD362" s="251"/>
      <c r="BE362" s="251"/>
      <c r="BF362" s="251"/>
      <c r="BG362" s="251"/>
      <c r="BH362" s="251"/>
    </row>
    <row r="363" spans="16:60" ht="16.5">
      <c r="P363" s="251"/>
      <c r="Q363" s="251"/>
      <c r="R363" s="251"/>
      <c r="S363" s="251"/>
      <c r="T363" s="251"/>
      <c r="U363" s="251"/>
      <c r="V363" s="251"/>
      <c r="W363" s="251"/>
      <c r="X363" s="251"/>
      <c r="Y363" s="251"/>
      <c r="Z363" s="251"/>
      <c r="AA363" s="251"/>
      <c r="AB363" s="276" t="s">
        <v>240</v>
      </c>
      <c r="AC363" s="251">
        <f>IF($AC$365="Old",$AC$129,IF($AC$365="Mix",$AC$130,$O$47))</f>
      </c>
      <c r="AD363" s="251"/>
      <c r="AE363" s="251"/>
      <c r="AF363" s="251"/>
      <c r="AG363" s="251"/>
      <c r="AH363" s="251"/>
      <c r="AI363" s="251"/>
      <c r="AJ363" s="251"/>
      <c r="AK363" s="251"/>
      <c r="AL363" s="251"/>
      <c r="AM363" s="251"/>
      <c r="AN363" s="251"/>
      <c r="AO363" s="251"/>
      <c r="AP363" s="304" t="s">
        <v>338</v>
      </c>
      <c r="AQ363" s="251"/>
      <c r="AR363" s="251"/>
      <c r="AS363" s="275">
        <v>2018</v>
      </c>
      <c r="AT363" s="275">
        <v>2019</v>
      </c>
      <c r="AU363" s="275">
        <v>2020</v>
      </c>
      <c r="AV363" s="251"/>
      <c r="AW363" s="251"/>
      <c r="AX363" s="251"/>
      <c r="AY363" s="251"/>
      <c r="AZ363" s="251"/>
      <c r="BA363" s="251"/>
      <c r="BB363" s="251"/>
      <c r="BC363" s="251"/>
      <c r="BD363" s="251"/>
      <c r="BE363" s="251"/>
      <c r="BF363" s="251"/>
      <c r="BG363" s="251"/>
      <c r="BH363" s="251"/>
    </row>
    <row r="364" spans="16:60" ht="30">
      <c r="P364" s="251"/>
      <c r="Q364" s="251"/>
      <c r="R364" s="251"/>
      <c r="S364" s="251"/>
      <c r="T364" s="251"/>
      <c r="U364" s="251"/>
      <c r="V364" s="251"/>
      <c r="W364" s="251"/>
      <c r="X364" s="251"/>
      <c r="Y364" s="251"/>
      <c r="Z364" s="251"/>
      <c r="AA364" s="251"/>
      <c r="AB364" s="251"/>
      <c r="AC364" s="307" t="s">
        <v>196</v>
      </c>
      <c r="AD364" s="328" t="s">
        <v>194</v>
      </c>
      <c r="AE364" s="328"/>
      <c r="AF364" s="328"/>
      <c r="AG364" s="328"/>
      <c r="AH364" s="328"/>
      <c r="AI364" s="328"/>
      <c r="AJ364" s="328"/>
      <c r="AK364" s="308" t="s">
        <v>195</v>
      </c>
      <c r="AL364" s="308"/>
      <c r="AM364" s="308"/>
      <c r="AN364" s="251"/>
      <c r="AO364" s="255" t="s">
        <v>308</v>
      </c>
      <c r="AP364" s="251" t="s">
        <v>306</v>
      </c>
      <c r="AQ364" s="251"/>
      <c r="AR364" s="251"/>
      <c r="AS364" s="309" t="s">
        <v>303</v>
      </c>
      <c r="AT364" s="251" t="s">
        <v>294</v>
      </c>
      <c r="AU364" s="295" t="s">
        <v>307</v>
      </c>
      <c r="AV364" s="251"/>
      <c r="AW364" s="251"/>
      <c r="AX364" s="251"/>
      <c r="AY364" s="251"/>
      <c r="AZ364" s="251"/>
      <c r="BA364" s="251"/>
      <c r="BB364" s="251"/>
      <c r="BC364" s="251"/>
      <c r="BD364" s="251"/>
      <c r="BE364" s="251"/>
      <c r="BF364" s="251"/>
      <c r="BG364" s="251"/>
      <c r="BH364" s="251"/>
    </row>
    <row r="365" spans="16:60" ht="16.5">
      <c r="P365" s="251"/>
      <c r="Q365" s="251"/>
      <c r="R365" s="251"/>
      <c r="S365" s="251"/>
      <c r="T365" s="251"/>
      <c r="U365" s="251"/>
      <c r="V365" s="251"/>
      <c r="W365" s="251"/>
      <c r="X365" s="251"/>
      <c r="Y365" s="251"/>
      <c r="Z365" s="251"/>
      <c r="AA365" s="255" t="s">
        <v>259</v>
      </c>
      <c r="AB365" s="310">
        <f>IF(OR($G$32="",$H$32="",$O$22="?"),"",VLOOKUP("Latest engagement",$T$32:$AX$41,4,FALSE))</f>
      </c>
      <c r="AC365" s="305">
        <f>IF($AB$365="","",IF(YEAR($AB$365)&gt;$X$25,"New",IF(AND(YEAR($AB$365)=$X$25,YEAR($AB$366)&gt;$X$25),"Mix","Old")))</f>
      </c>
      <c r="AD365" s="330" t="s">
        <v>257</v>
      </c>
      <c r="AE365" s="330"/>
      <c r="AF365" s="330"/>
      <c r="AG365" s="330"/>
      <c r="AH365" s="330"/>
      <c r="AI365" s="330"/>
      <c r="AJ365" s="330"/>
      <c r="AK365" s="304" t="str">
        <f>CONCATENATE("D47, D50, ",CHAR(10),"AO",ROW(AO251))</f>
        <v>D47, D50, 
AO251</v>
      </c>
      <c r="AL365" s="311"/>
      <c r="AM365" s="311"/>
      <c r="AN365" s="251"/>
      <c r="AO365" s="255" t="s">
        <v>309</v>
      </c>
      <c r="AP365" s="309" t="s">
        <v>305</v>
      </c>
      <c r="AQ365" s="251"/>
      <c r="AR365" s="251"/>
      <c r="AS365" s="251" t="s">
        <v>304</v>
      </c>
      <c r="AT365" s="251"/>
      <c r="AU365" s="251"/>
      <c r="AV365" s="251"/>
      <c r="AW365" s="251"/>
      <c r="AX365" s="251"/>
      <c r="AY365" s="251"/>
      <c r="AZ365" s="251"/>
      <c r="BA365" s="251"/>
      <c r="BB365" s="251"/>
      <c r="BC365" s="251"/>
      <c r="BD365" s="251"/>
      <c r="BE365" s="251"/>
      <c r="BF365" s="251"/>
      <c r="BG365" s="251"/>
      <c r="BH365" s="251"/>
    </row>
    <row r="366" spans="16:60" ht="16.5">
      <c r="P366" s="251"/>
      <c r="Q366" s="251"/>
      <c r="R366" s="251"/>
      <c r="S366" s="251"/>
      <c r="T366" s="251"/>
      <c r="U366" s="251"/>
      <c r="V366" s="251"/>
      <c r="W366" s="251"/>
      <c r="X366" s="251"/>
      <c r="Y366" s="251"/>
      <c r="Z366" s="251"/>
      <c r="AA366" s="312" t="s">
        <v>260</v>
      </c>
      <c r="AB366" s="313">
        <f>IF(OR($G$32="",$H$32="",$O$22="?"),"",VLOOKUP("Latest engagement",$T$32:$AX$41,20,FALSE))</f>
      </c>
      <c r="AC366" s="314" t="str">
        <f>CONCATENATE("AC",ROW(AC365),":")</f>
        <v>AC365:</v>
      </c>
      <c r="AD366" s="330" t="s">
        <v>339</v>
      </c>
      <c r="AE366" s="330"/>
      <c r="AF366" s="330"/>
      <c r="AG366" s="330"/>
      <c r="AH366" s="330"/>
      <c r="AI366" s="330"/>
      <c r="AJ366" s="330"/>
      <c r="AK366" s="311"/>
      <c r="AL366" s="311"/>
      <c r="AM366" s="311"/>
      <c r="AN366" s="251"/>
      <c r="AO366" s="251"/>
      <c r="AP366" s="251"/>
      <c r="AQ366" s="251"/>
      <c r="AR366" s="251"/>
      <c r="AS366" s="251"/>
      <c r="AT366" s="251"/>
      <c r="AU366" s="251"/>
      <c r="AV366" s="251"/>
      <c r="AW366" s="251"/>
      <c r="AX366" s="251"/>
      <c r="AY366" s="251"/>
      <c r="AZ366" s="251"/>
      <c r="BA366" s="251"/>
      <c r="BB366" s="251"/>
      <c r="BC366" s="251"/>
      <c r="BD366" s="251"/>
      <c r="BE366" s="251"/>
      <c r="BF366" s="251"/>
      <c r="BG366" s="251"/>
      <c r="BH366" s="251"/>
    </row>
    <row r="367" spans="16:60" ht="30" customHeight="1">
      <c r="P367" s="251"/>
      <c r="Q367" s="251"/>
      <c r="R367" s="251"/>
      <c r="S367" s="251"/>
      <c r="T367" s="251"/>
      <c r="U367" s="251"/>
      <c r="V367" s="251"/>
      <c r="W367" s="251"/>
      <c r="X367" s="251"/>
      <c r="Y367" s="251"/>
      <c r="Z367" s="251"/>
      <c r="AA367" s="251"/>
      <c r="AB367" s="304"/>
      <c r="AC367" s="314" t="str">
        <f>CONCATENATE("AL",ROW(AL367),":")</f>
        <v>AL367:</v>
      </c>
      <c r="AD367" s="330" t="s">
        <v>340</v>
      </c>
      <c r="AE367" s="330"/>
      <c r="AF367" s="330"/>
      <c r="AG367" s="330"/>
      <c r="AH367" s="330"/>
      <c r="AI367" s="330"/>
      <c r="AJ367" s="330"/>
      <c r="AK367" s="315" t="s">
        <v>268</v>
      </c>
      <c r="AL367" s="316" t="str">
        <f>IF(OR($AC$188="Sri Lanka"),CONCATENATE(IF(X104&gt;0,"       ",""),"- Your income is borne/paid by a Singapore entity."),CONCATENATE("       ","- The effective date of the tax treaty between Singapore and ",$AC$188," is from 1 Jan ",$X$26,"."))</f>
        <v>       - The effective date of the tax treaty between Singapore and  is from 1 Jan 2022.</v>
      </c>
      <c r="AM367" s="251"/>
      <c r="AN367" s="251"/>
      <c r="AO367" s="251"/>
      <c r="AP367" s="251"/>
      <c r="AQ367" s="251"/>
      <c r="AR367" s="251"/>
      <c r="AS367" s="251"/>
      <c r="AT367" s="251"/>
      <c r="AU367" s="251"/>
      <c r="AV367" s="251"/>
      <c r="AW367" s="251"/>
      <c r="AX367" s="251"/>
      <c r="AY367" s="251"/>
      <c r="AZ367" s="251"/>
      <c r="BA367" s="251"/>
      <c r="BB367" s="251"/>
      <c r="BC367" s="251"/>
      <c r="BD367" s="251"/>
      <c r="BE367" s="251"/>
      <c r="BF367" s="251"/>
      <c r="BG367" s="251"/>
      <c r="BH367" s="257"/>
    </row>
    <row r="368" spans="16:60" ht="16.5">
      <c r="P368" s="251"/>
      <c r="Q368" s="251"/>
      <c r="R368" s="251"/>
      <c r="S368" s="251"/>
      <c r="T368" s="251"/>
      <c r="U368" s="251"/>
      <c r="V368" s="251"/>
      <c r="W368" s="251"/>
      <c r="X368" s="251"/>
      <c r="Y368" s="251"/>
      <c r="Z368" s="251"/>
      <c r="AA368" s="251"/>
      <c r="AB368" s="251"/>
      <c r="AC368" s="251"/>
      <c r="AD368" s="251"/>
      <c r="AE368" s="251"/>
      <c r="AF368" s="251"/>
      <c r="AG368" s="251"/>
      <c r="AH368" s="251"/>
      <c r="AI368" s="251"/>
      <c r="AJ368" s="251"/>
      <c r="AK368" s="251"/>
      <c r="AL368" s="251"/>
      <c r="AM368" s="251"/>
      <c r="AN368" s="251"/>
      <c r="AO368" s="251"/>
      <c r="AP368" s="251"/>
      <c r="AQ368" s="251"/>
      <c r="AR368" s="251"/>
      <c r="AS368" s="251"/>
      <c r="AT368" s="251"/>
      <c r="AU368" s="251"/>
      <c r="AV368" s="251"/>
      <c r="AW368" s="251"/>
      <c r="AX368" s="251"/>
      <c r="AY368" s="251"/>
      <c r="AZ368" s="251"/>
      <c r="BA368" s="251"/>
      <c r="BB368" s="251"/>
      <c r="BC368" s="251"/>
      <c r="BD368" s="251"/>
      <c r="BE368" s="251"/>
      <c r="BF368" s="251"/>
      <c r="BG368" s="251"/>
      <c r="BH368" s="251"/>
    </row>
    <row r="369" spans="16:60" ht="16.5">
      <c r="P369" s="251"/>
      <c r="Q369" s="251"/>
      <c r="R369" s="251"/>
      <c r="S369" s="251"/>
      <c r="T369" s="251"/>
      <c r="U369" s="251"/>
      <c r="V369" s="251"/>
      <c r="W369" s="251"/>
      <c r="X369" s="251"/>
      <c r="Y369" s="251"/>
      <c r="Z369" s="251"/>
      <c r="AA369" s="251"/>
      <c r="AB369" s="251"/>
      <c r="AC369" s="251" t="s">
        <v>258</v>
      </c>
      <c r="AD369" s="251"/>
      <c r="AE369" s="251"/>
      <c r="AF369" s="251"/>
      <c r="AG369" s="251"/>
      <c r="AH369" s="251"/>
      <c r="AI369" s="251"/>
      <c r="AJ369" s="251"/>
      <c r="AK369" s="251"/>
      <c r="AL369" s="251"/>
      <c r="AM369" s="297"/>
      <c r="AN369" s="251"/>
      <c r="AO369" s="251"/>
      <c r="AP369" s="251"/>
      <c r="AQ369" s="251"/>
      <c r="AR369" s="251"/>
      <c r="AS369" s="251"/>
      <c r="AT369" s="251"/>
      <c r="AU369" s="251"/>
      <c r="AV369" s="251"/>
      <c r="AW369" s="251"/>
      <c r="AX369" s="251"/>
      <c r="AY369" s="251"/>
      <c r="AZ369" s="251"/>
      <c r="BA369" s="251"/>
      <c r="BB369" s="251"/>
      <c r="BC369" s="251"/>
      <c r="BD369" s="251"/>
      <c r="BE369" s="251"/>
      <c r="BF369" s="251"/>
      <c r="BG369" s="251"/>
      <c r="BH369" s="251"/>
    </row>
    <row r="370" spans="16:60" ht="30">
      <c r="P370" s="251"/>
      <c r="Q370" s="251"/>
      <c r="R370" s="251"/>
      <c r="S370" s="251"/>
      <c r="T370" s="251"/>
      <c r="U370" s="251"/>
      <c r="V370" s="251"/>
      <c r="W370" s="251"/>
      <c r="X370" s="251"/>
      <c r="Y370" s="251"/>
      <c r="Z370" s="251"/>
      <c r="AA370" s="251"/>
      <c r="AB370" s="251"/>
      <c r="AC370" s="317" t="s">
        <v>341</v>
      </c>
      <c r="AD370" s="283" t="s">
        <v>342</v>
      </c>
      <c r="AE370" s="251"/>
      <c r="AF370" s="251"/>
      <c r="AG370" s="251"/>
      <c r="AH370" s="251"/>
      <c r="AI370" s="251"/>
      <c r="AJ370" s="251"/>
      <c r="AK370" s="251"/>
      <c r="AL370" s="251"/>
      <c r="AM370" s="297"/>
      <c r="AN370" s="251"/>
      <c r="AO370" s="251"/>
      <c r="AP370" s="251"/>
      <c r="AQ370" s="251"/>
      <c r="AR370" s="251"/>
      <c r="AS370" s="251"/>
      <c r="AT370" s="251"/>
      <c r="AU370" s="251"/>
      <c r="AV370" s="251"/>
      <c r="AW370" s="251"/>
      <c r="AX370" s="251"/>
      <c r="AY370" s="251"/>
      <c r="AZ370" s="251"/>
      <c r="BA370" s="251"/>
      <c r="BB370" s="251"/>
      <c r="BC370" s="251"/>
      <c r="BD370" s="251"/>
      <c r="BE370" s="251"/>
      <c r="BF370" s="251"/>
      <c r="BG370" s="251"/>
      <c r="BH370" s="251"/>
    </row>
    <row r="371" spans="16:60" ht="16.5">
      <c r="P371" s="251"/>
      <c r="Q371" s="251"/>
      <c r="R371" s="251"/>
      <c r="S371" s="251"/>
      <c r="T371" s="251"/>
      <c r="U371" s="251"/>
      <c r="V371" s="251"/>
      <c r="W371" s="251"/>
      <c r="X371" s="251"/>
      <c r="Y371" s="251"/>
      <c r="Z371" s="251"/>
      <c r="AA371" s="251"/>
      <c r="AB371" s="276" t="s">
        <v>240</v>
      </c>
      <c r="AC371" s="251">
        <f>IF(OR($AC$376="Taxable",X104&gt;1),$AC$129,IF($AC$376="Mixed",$AC$131,$O$47))</f>
      </c>
      <c r="AD371" s="251"/>
      <c r="AE371" s="251"/>
      <c r="AF371" s="251"/>
      <c r="AG371" s="251"/>
      <c r="AH371" s="251"/>
      <c r="AI371" s="251"/>
      <c r="AJ371" s="251"/>
      <c r="AK371" s="251"/>
      <c r="AL371" s="251"/>
      <c r="AM371" s="297"/>
      <c r="AN371" s="251"/>
      <c r="AO371" s="251"/>
      <c r="AP371" s="251"/>
      <c r="AQ371" s="251"/>
      <c r="AR371" s="251"/>
      <c r="AS371" s="251"/>
      <c r="AT371" s="251"/>
      <c r="AU371" s="251"/>
      <c r="AV371" s="251"/>
      <c r="AW371" s="251"/>
      <c r="AX371" s="251"/>
      <c r="AY371" s="251"/>
      <c r="AZ371" s="251"/>
      <c r="BA371" s="251"/>
      <c r="BB371" s="251"/>
      <c r="BC371" s="251"/>
      <c r="BD371" s="251"/>
      <c r="BE371" s="251"/>
      <c r="BF371" s="251"/>
      <c r="BG371" s="251"/>
      <c r="BH371" s="251"/>
    </row>
    <row r="372" spans="16:60" ht="16.5">
      <c r="P372" s="251"/>
      <c r="Q372" s="251"/>
      <c r="R372" s="251"/>
      <c r="S372" s="251"/>
      <c r="T372" s="251"/>
      <c r="U372" s="251"/>
      <c r="V372" s="251"/>
      <c r="W372" s="251"/>
      <c r="X372" s="251"/>
      <c r="Y372" s="251"/>
      <c r="Z372" s="251"/>
      <c r="AA372" s="251"/>
      <c r="AB372" s="276" t="s">
        <v>268</v>
      </c>
      <c r="AC372" s="316">
        <f>IF(OR(AC374="",AC376="Exempt"),"",IF(AND(AC374="Taxable",AC376="Taxable"),CONCATENATE("- Your physical presence in Singapore exceeded 90 days ",VLOOKUP("Latest engagement",$T$32:$AK$41,18,FALSE)),CONCATENATE("- Your physical presence in Singapore exceeded 89 days ",VLOOKUP("Latest engagement",$T$32:$AK$41,18,FALSE))))</f>
      </c>
      <c r="AD372" s="251"/>
      <c r="AE372" s="251"/>
      <c r="AF372" s="251"/>
      <c r="AG372" s="251"/>
      <c r="AH372" s="251"/>
      <c r="AI372" s="251"/>
      <c r="AJ372" s="251"/>
      <c r="AK372" s="251"/>
      <c r="AL372" s="251"/>
      <c r="AM372" s="251"/>
      <c r="AN372" s="251"/>
      <c r="AO372" s="251"/>
      <c r="AP372" s="251"/>
      <c r="AQ372" s="251"/>
      <c r="AR372" s="251"/>
      <c r="AS372" s="251"/>
      <c r="AT372" s="251"/>
      <c r="AU372" s="251"/>
      <c r="AV372" s="251"/>
      <c r="AW372" s="251"/>
      <c r="AX372" s="251"/>
      <c r="AY372" s="251"/>
      <c r="AZ372" s="251"/>
      <c r="BA372" s="251"/>
      <c r="BB372" s="251"/>
      <c r="BC372" s="251"/>
      <c r="BD372" s="251"/>
      <c r="BE372" s="251"/>
      <c r="BF372" s="251"/>
      <c r="BG372" s="251"/>
      <c r="BH372" s="251"/>
    </row>
    <row r="373" spans="16:60" ht="16.5">
      <c r="P373" s="251"/>
      <c r="Q373" s="251"/>
      <c r="R373" s="251"/>
      <c r="S373" s="251"/>
      <c r="T373" s="251"/>
      <c r="U373" s="251"/>
      <c r="V373" s="251"/>
      <c r="W373" s="251"/>
      <c r="X373" s="251"/>
      <c r="Y373" s="251"/>
      <c r="Z373" s="251"/>
      <c r="AA373" s="255" t="s">
        <v>259</v>
      </c>
      <c r="AB373" s="310">
        <f>IF(OR($G$32="",$H$32=""),"",VLOOKUP("Latest engagement",$T$32:$AX$41,4,FALSE))</f>
      </c>
      <c r="AC373" s="318" t="s">
        <v>196</v>
      </c>
      <c r="AD373" s="328" t="s">
        <v>194</v>
      </c>
      <c r="AE373" s="328"/>
      <c r="AF373" s="328"/>
      <c r="AG373" s="328"/>
      <c r="AH373" s="328"/>
      <c r="AI373" s="328"/>
      <c r="AJ373" s="328"/>
      <c r="AK373" s="319" t="s">
        <v>195</v>
      </c>
      <c r="AL373" s="251"/>
      <c r="AM373" s="251"/>
      <c r="AN373" s="251"/>
      <c r="AO373" s="251"/>
      <c r="AP373" s="251"/>
      <c r="AQ373" s="251"/>
      <c r="AR373" s="251"/>
      <c r="AS373" s="251"/>
      <c r="AT373" s="251"/>
      <c r="AU373" s="251"/>
      <c r="AV373" s="251"/>
      <c r="AW373" s="251"/>
      <c r="AX373" s="251"/>
      <c r="AY373" s="251"/>
      <c r="AZ373" s="251"/>
      <c r="BA373" s="251"/>
      <c r="BB373" s="251"/>
      <c r="BC373" s="251"/>
      <c r="BD373" s="251"/>
      <c r="BE373" s="251"/>
      <c r="BF373" s="251"/>
      <c r="BG373" s="251"/>
      <c r="BH373" s="257"/>
    </row>
    <row r="374" spans="16:60" ht="14.25" customHeight="1">
      <c r="P374" s="251"/>
      <c r="Q374" s="251"/>
      <c r="R374" s="251"/>
      <c r="S374" s="251"/>
      <c r="T374" s="251"/>
      <c r="U374" s="251"/>
      <c r="V374" s="251"/>
      <c r="W374" s="251"/>
      <c r="X374" s="251"/>
      <c r="Y374" s="251"/>
      <c r="Z374" s="251"/>
      <c r="AA374" s="251"/>
      <c r="AB374" s="304">
        <v>2021</v>
      </c>
      <c r="AC374" s="305">
        <f>IF(OR($AB$373="",AB373&gt;DATE(AB374,12,31)),"",IF(AND(YEAR($AB$373)=AB374,VLOOKUP("Latest engagement",$T$32:$AX$41,31,FALSE)&gt;90),"Taxable","Exempt"))</f>
      </c>
      <c r="AD374" s="330" t="s">
        <v>324</v>
      </c>
      <c r="AE374" s="330"/>
      <c r="AF374" s="330"/>
      <c r="AG374" s="330"/>
      <c r="AH374" s="330"/>
      <c r="AI374" s="330"/>
      <c r="AJ374" s="330"/>
      <c r="AK374" s="311" t="str">
        <f>CONCATENATE("Russia: D47, AO",ROW(AQ262),", AC",ROW(AC123))</f>
        <v>Russia: D47, AO262, AC123</v>
      </c>
      <c r="AL374" s="251"/>
      <c r="AM374" s="251"/>
      <c r="AN374" s="251"/>
      <c r="AO374" s="251"/>
      <c r="AP374" s="251"/>
      <c r="AQ374" s="251"/>
      <c r="AR374" s="251"/>
      <c r="AS374" s="251"/>
      <c r="AT374" s="251"/>
      <c r="AU374" s="251"/>
      <c r="AV374" s="251"/>
      <c r="AW374" s="251"/>
      <c r="AX374" s="251"/>
      <c r="AY374" s="251"/>
      <c r="AZ374" s="251"/>
      <c r="BA374" s="251"/>
      <c r="BB374" s="251"/>
      <c r="BC374" s="251"/>
      <c r="BD374" s="251"/>
      <c r="BE374" s="251"/>
      <c r="BF374" s="251"/>
      <c r="BG374" s="251"/>
      <c r="BH374" s="257"/>
    </row>
    <row r="375" spans="16:60" ht="16.5">
      <c r="P375" s="251"/>
      <c r="Q375" s="251"/>
      <c r="R375" s="251"/>
      <c r="S375" s="251"/>
      <c r="T375" s="251"/>
      <c r="U375" s="251"/>
      <c r="V375" s="251"/>
      <c r="W375" s="251"/>
      <c r="X375" s="251"/>
      <c r="Y375" s="251"/>
      <c r="Z375" s="251"/>
      <c r="AA375" s="251"/>
      <c r="AB375" s="304">
        <v>2022</v>
      </c>
      <c r="AC375" s="305">
        <f>IF($AB$373="","",IF(OR(YEAR($G$32)&gt;=AB375,YEAR($G$33)&gt;=AB375,YEAR($G$34)&gt;=AB375,YEAR($G$35)&gt;=AB375,YEAR($G$36)&gt;=AB375,YEAR($H$32)&gt;=AB375,YEAR($H$33)&gt;=AB375,YEAR($H$34)&gt;=AB375,YEAR($H$35)&gt;=AB375,YEAR($H$36)&gt;=AB375),"Yes","No"))</f>
      </c>
      <c r="AD375" s="330" t="s">
        <v>325</v>
      </c>
      <c r="AE375" s="330"/>
      <c r="AF375" s="330"/>
      <c r="AG375" s="330"/>
      <c r="AH375" s="330"/>
      <c r="AI375" s="330"/>
      <c r="AJ375" s="330"/>
      <c r="AL375" s="304"/>
      <c r="AM375" s="251"/>
      <c r="AN375" s="251"/>
      <c r="AO375" s="251"/>
      <c r="AP375" s="251"/>
      <c r="AQ375" s="251"/>
      <c r="AR375" s="251"/>
      <c r="AS375" s="251"/>
      <c r="AT375" s="251"/>
      <c r="AU375" s="251"/>
      <c r="AV375" s="251"/>
      <c r="AW375" s="251"/>
      <c r="AX375" s="251"/>
      <c r="AY375" s="251"/>
      <c r="AZ375" s="251"/>
      <c r="BA375" s="251"/>
      <c r="BB375" s="251"/>
      <c r="BC375" s="251"/>
      <c r="BD375" s="251"/>
      <c r="BE375" s="251"/>
      <c r="BF375" s="251"/>
      <c r="BG375" s="251"/>
      <c r="BH375" s="257"/>
    </row>
    <row r="376" spans="16:60" ht="115.5" customHeight="1">
      <c r="P376" s="251"/>
      <c r="Q376" s="251"/>
      <c r="R376" s="251"/>
      <c r="S376" s="251"/>
      <c r="T376" s="251"/>
      <c r="U376" s="251"/>
      <c r="V376" s="251"/>
      <c r="W376" s="251"/>
      <c r="X376" s="251"/>
      <c r="Y376" s="251"/>
      <c r="Z376" s="251"/>
      <c r="AA376" s="251"/>
      <c r="AB376" s="304">
        <f>IF(AB373="","",VLOOKUP("Latest engagement",$T$32:$AX$41,31,FALSE))</f>
      </c>
      <c r="AC376" s="305">
        <f>IF($AB$373="","",IF(OR($AB$376&lt;90,AND(AC375="No",$AC$374="Exempt")),"Exempt",IF(AND(AC374="Exempt",AC375="Yes",AB376&gt;89),"Mixed","Taxable")))</f>
      </c>
      <c r="AD376" s="330" t="s">
        <v>343</v>
      </c>
      <c r="AE376" s="330"/>
      <c r="AF376" s="330"/>
      <c r="AG376" s="330"/>
      <c r="AH376" s="330"/>
      <c r="AI376" s="330"/>
      <c r="AJ376" s="330"/>
      <c r="AK376" s="311" t="str">
        <f>CONCATENATE("IDN 2022: D47, X",ROW(X103),", AA",ROW(AA108),", AC",ROW(AC374),", AC",ROW(AC376))</f>
        <v>IDN 2022: D47, X103, AA108, AC374, AC376</v>
      </c>
      <c r="AL376" s="320"/>
      <c r="AM376" s="251"/>
      <c r="AN376" s="251"/>
      <c r="AO376" s="251"/>
      <c r="AP376" s="251"/>
      <c r="AQ376" s="251"/>
      <c r="AR376" s="251"/>
      <c r="AS376" s="251"/>
      <c r="AT376" s="251"/>
      <c r="AU376" s="251"/>
      <c r="AV376" s="251"/>
      <c r="AW376" s="251"/>
      <c r="AX376" s="251"/>
      <c r="AY376" s="251"/>
      <c r="AZ376" s="251"/>
      <c r="BA376" s="251"/>
      <c r="BB376" s="251"/>
      <c r="BC376" s="251"/>
      <c r="BD376" s="251"/>
      <c r="BE376" s="251"/>
      <c r="BF376" s="251"/>
      <c r="BG376" s="251"/>
      <c r="BH376" s="257"/>
    </row>
    <row r="377" spans="16:60" ht="102.75" customHeight="1">
      <c r="P377" s="251"/>
      <c r="Q377" s="251"/>
      <c r="R377" s="251"/>
      <c r="S377" s="251"/>
      <c r="T377" s="251"/>
      <c r="U377" s="251"/>
      <c r="V377" s="304"/>
      <c r="W377" s="304"/>
      <c r="X377" s="304"/>
      <c r="Y377" s="304"/>
      <c r="Z377" s="304"/>
      <c r="AA377" s="304"/>
      <c r="AB377" s="304"/>
      <c r="AC377" s="304"/>
      <c r="AD377" s="330" t="s">
        <v>327</v>
      </c>
      <c r="AE377" s="331"/>
      <c r="AF377" s="331"/>
      <c r="AG377" s="331"/>
      <c r="AH377" s="331"/>
      <c r="AI377" s="331"/>
      <c r="AJ377" s="331"/>
      <c r="AK377" s="311" t="str">
        <f>CONCATENATE("UAE: AO",ROW(AQ282),", I",ROW(I44),", AC",ROW(AC122))</f>
        <v>UAE: AO282, I44, AC122</v>
      </c>
      <c r="AL377" s="316">
        <f>IF(AC376="","",CONCATENATE("- Your stay in Singapore ",IF(AND(AE293="Yes",I44="Taxable",L44="Taxable")=TRUE,CONCATENATE("exceeded 183 days in the calendar year ",U30," and 300 days in the calendar year ",V30),IF(L44="Taxable",CONCATENATE(AF164,"in the calendar year ",V30),IF(I44="Taxable",CONCATENATE("exceeded 183 days in the calendar year ",U30),""))),"."))</f>
      </c>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21"/>
    </row>
    <row r="378" spans="16:71" ht="14.25">
      <c r="P378" s="251"/>
      <c r="Q378" s="251"/>
      <c r="R378" s="251"/>
      <c r="S378" s="251"/>
      <c r="T378" s="251"/>
      <c r="U378" s="251"/>
      <c r="V378" s="251"/>
      <c r="W378" s="251"/>
      <c r="X378" s="251"/>
      <c r="Y378" s="251"/>
      <c r="Z378" s="251"/>
      <c r="AA378" s="251"/>
      <c r="AB378" s="251"/>
      <c r="AC378" s="251"/>
      <c r="AD378" s="251"/>
      <c r="AE378" s="251"/>
      <c r="AF378" s="251"/>
      <c r="AG378" s="251"/>
      <c r="AH378" s="251"/>
      <c r="AI378" s="251"/>
      <c r="AJ378" s="251"/>
      <c r="AK378" s="251"/>
      <c r="AL378" s="251"/>
      <c r="AM378" s="251"/>
      <c r="AN378" s="251"/>
      <c r="AO378" s="251"/>
      <c r="AP378" s="251"/>
      <c r="AQ378" s="251"/>
      <c r="AR378" s="251"/>
      <c r="AS378" s="251"/>
      <c r="AT378" s="251"/>
      <c r="AU378" s="251"/>
      <c r="AV378" s="251"/>
      <c r="AW378" s="251"/>
      <c r="AX378" s="251"/>
      <c r="AY378" s="251"/>
      <c r="AZ378" s="251"/>
      <c r="BA378" s="251"/>
      <c r="BB378" s="251"/>
      <c r="BC378" s="251"/>
      <c r="BD378" s="251"/>
      <c r="BE378" s="251"/>
      <c r="BF378" s="251"/>
      <c r="BG378" s="251"/>
      <c r="BH378" s="251"/>
      <c r="BI378" s="245"/>
      <c r="BJ378" s="62"/>
      <c r="BK378" s="62"/>
      <c r="BL378" s="62"/>
      <c r="BM378" s="62"/>
      <c r="BN378" s="62"/>
      <c r="BO378" s="62"/>
      <c r="BP378" s="62"/>
      <c r="BQ378" s="62"/>
      <c r="BR378" s="62"/>
      <c r="BS378" s="62"/>
    </row>
  </sheetData>
  <sheetProtection password="8950" sheet="1"/>
  <mergeCells count="130">
    <mergeCell ref="AD348:AJ348"/>
    <mergeCell ref="AD324:AJ324"/>
    <mergeCell ref="AD365:AJ365"/>
    <mergeCell ref="AD366:AJ366"/>
    <mergeCell ref="AD356:AJ356"/>
    <mergeCell ref="AD357:AJ357"/>
    <mergeCell ref="AD358:AJ358"/>
    <mergeCell ref="AD359:AJ359"/>
    <mergeCell ref="AD335:AJ335"/>
    <mergeCell ref="AD332:AJ332"/>
    <mergeCell ref="AD334:AJ334"/>
    <mergeCell ref="Z118:AA118"/>
    <mergeCell ref="AD333:AJ333"/>
    <mergeCell ref="Z120:AA120"/>
    <mergeCell ref="AC188:AE188"/>
    <mergeCell ref="C96:N96"/>
    <mergeCell ref="Z117:AA117"/>
    <mergeCell ref="C88:N88"/>
    <mergeCell ref="D90:N91"/>
    <mergeCell ref="AD327:AJ327"/>
    <mergeCell ref="AD326:AJ326"/>
    <mergeCell ref="AD325:AJ325"/>
    <mergeCell ref="C95:N95"/>
    <mergeCell ref="Z121:AA121"/>
    <mergeCell ref="AD189:AK189"/>
    <mergeCell ref="Z122:AA123"/>
    <mergeCell ref="H83:J85"/>
    <mergeCell ref="K83:L85"/>
    <mergeCell ref="C87:N87"/>
    <mergeCell ref="M83:N85"/>
    <mergeCell ref="C83:G85"/>
    <mergeCell ref="I76:J76"/>
    <mergeCell ref="K76:L76"/>
    <mergeCell ref="D77:G77"/>
    <mergeCell ref="I77:J77"/>
    <mergeCell ref="K77:L77"/>
    <mergeCell ref="H82:J82"/>
    <mergeCell ref="K82:L82"/>
    <mergeCell ref="E79:H79"/>
    <mergeCell ref="D80:M80"/>
    <mergeCell ref="D76:G76"/>
    <mergeCell ref="D74:G74"/>
    <mergeCell ref="I74:J74"/>
    <mergeCell ref="K74:L74"/>
    <mergeCell ref="D75:G75"/>
    <mergeCell ref="I75:J75"/>
    <mergeCell ref="K75:L75"/>
    <mergeCell ref="J66:M66"/>
    <mergeCell ref="D72:G72"/>
    <mergeCell ref="I72:J72"/>
    <mergeCell ref="K72:L72"/>
    <mergeCell ref="D73:G73"/>
    <mergeCell ref="I73:J73"/>
    <mergeCell ref="K73:L73"/>
    <mergeCell ref="G66:H66"/>
    <mergeCell ref="C56:N56"/>
    <mergeCell ref="G63:H63"/>
    <mergeCell ref="G62:J62"/>
    <mergeCell ref="F65:M65"/>
    <mergeCell ref="D70:G71"/>
    <mergeCell ref="H70:H71"/>
    <mergeCell ref="I70:L70"/>
    <mergeCell ref="M70:M71"/>
    <mergeCell ref="I71:J71"/>
    <mergeCell ref="K71:L71"/>
    <mergeCell ref="D52:N52"/>
    <mergeCell ref="D54:F54"/>
    <mergeCell ref="G54:H54"/>
    <mergeCell ref="I54:K54"/>
    <mergeCell ref="L54:M54"/>
    <mergeCell ref="C55:N55"/>
    <mergeCell ref="I43:J43"/>
    <mergeCell ref="K43:L43"/>
    <mergeCell ref="D51:H51"/>
    <mergeCell ref="C46:N46"/>
    <mergeCell ref="D47:N49"/>
    <mergeCell ref="D50:N50"/>
    <mergeCell ref="E39:F39"/>
    <mergeCell ref="I39:M39"/>
    <mergeCell ref="E40:F40"/>
    <mergeCell ref="I40:M40"/>
    <mergeCell ref="E41:F41"/>
    <mergeCell ref="I41:M41"/>
    <mergeCell ref="W30:X30"/>
    <mergeCell ref="E37:F37"/>
    <mergeCell ref="I37:M37"/>
    <mergeCell ref="E38:F38"/>
    <mergeCell ref="I38:M38"/>
    <mergeCell ref="I36:M36"/>
    <mergeCell ref="I35:M35"/>
    <mergeCell ref="E36:F36"/>
    <mergeCell ref="AL30:AM30"/>
    <mergeCell ref="AN30:AX30"/>
    <mergeCell ref="E31:F31"/>
    <mergeCell ref="I31:M31"/>
    <mergeCell ref="I28:J28"/>
    <mergeCell ref="C3:N3"/>
    <mergeCell ref="C4:N4"/>
    <mergeCell ref="E11:M11"/>
    <mergeCell ref="I16:K16"/>
    <mergeCell ref="I19:K19"/>
    <mergeCell ref="C5:N5"/>
    <mergeCell ref="I9:K9"/>
    <mergeCell ref="AD367:AJ367"/>
    <mergeCell ref="E32:F32"/>
    <mergeCell ref="I32:M32"/>
    <mergeCell ref="E34:F34"/>
    <mergeCell ref="I34:M34"/>
    <mergeCell ref="E33:F33"/>
    <mergeCell ref="I33:M33"/>
    <mergeCell ref="E35:F35"/>
    <mergeCell ref="AD374:AJ374"/>
    <mergeCell ref="AD375:AJ375"/>
    <mergeCell ref="AD376:AJ376"/>
    <mergeCell ref="AD377:AJ377"/>
    <mergeCell ref="AD349:AJ349"/>
    <mergeCell ref="AD350:AJ350"/>
    <mergeCell ref="AD351:AJ351"/>
    <mergeCell ref="AC362:AD362"/>
    <mergeCell ref="AD364:AJ364"/>
    <mergeCell ref="AK357:AK358"/>
    <mergeCell ref="K63:L63"/>
    <mergeCell ref="F64:M64"/>
    <mergeCell ref="K62:L62"/>
    <mergeCell ref="I63:J63"/>
    <mergeCell ref="AD373:AJ373"/>
    <mergeCell ref="AD340:AJ340"/>
    <mergeCell ref="AD341:AJ341"/>
    <mergeCell ref="AD342:AJ342"/>
    <mergeCell ref="AD343:AJ343"/>
  </mergeCells>
  <conditionalFormatting sqref="D26 D24 D19 D16 D9">
    <cfRule type="containsText" priority="13" dxfId="10" operator="containsText" stopIfTrue="1" text="&gt;&gt;">
      <formula>NOT(ISERROR(SEARCH("&gt;&gt;",D9)))</formula>
    </cfRule>
  </conditionalFormatting>
  <conditionalFormatting sqref="E32:M42">
    <cfRule type="expression" priority="12" dxfId="7" stopIfTrue="1">
      <formula>$S32=1</formula>
    </cfRule>
  </conditionalFormatting>
  <conditionalFormatting sqref="C14:N14 C6:N6 C22:N22">
    <cfRule type="expression" priority="11" dxfId="11" stopIfTrue="1">
      <formula>$O6="?"</formula>
    </cfRule>
  </conditionalFormatting>
  <conditionalFormatting sqref="C93:I93 C94:N94 L93:N93 C92:N92 C90:D90 C91 C58:N65 C67:N89 C66:H66 I66:N66">
    <cfRule type="expression" priority="10" dxfId="12" stopIfTrue="1">
      <formula>$O$58="Disappear"</formula>
    </cfRule>
  </conditionalFormatting>
  <conditionalFormatting sqref="I43:J43">
    <cfRule type="expression" priority="9" dxfId="13" stopIfTrue="1">
      <formula>$I$43&lt;&gt;""</formula>
    </cfRule>
  </conditionalFormatting>
  <conditionalFormatting sqref="K43:L43">
    <cfRule type="expression" priority="8" dxfId="13" stopIfTrue="1">
      <formula>$K$43&lt;&gt;""</formula>
    </cfRule>
  </conditionalFormatting>
  <conditionalFormatting sqref="I19:K19">
    <cfRule type="expression" priority="7" dxfId="12" stopIfTrue="1">
      <formula>$D$19&lt;&gt;"&gt;&gt;"</formula>
    </cfRule>
  </conditionalFormatting>
  <conditionalFormatting sqref="P1:BH29 P30:BG30 P31:BF43 AA107:BH108 V362:AC362 V366:AJ366 V364:AL365 V367:AD367 V291:BG318 V319:BH326 V327:BG327 V328:BH331 V136:AA136 P44:BH68 V106:BH106 V107:Y108 V111:Y111 V112:BH133 V98:BH104 V110:X110 AB110:BH111 V109:BH109 AL136:BH136 AC136:AJ136 P69:U182 AK367:AP367 AR367:BG367 V135:BH135 V134:AC134 AE134:BH134 V137:BH147 V148:AA148 AC148:BH148 AN364 V363:AN363 AP363:AP365 AS362:AS365 V332:BG359 V360:AN361 AV360:BG361 AE362:AU362 AV362:BH364 AN365:BH366 V149:BH167 V168:AM170 AO168:BH170 AN169:AN170 V171:BH182 P183:BH183 V184:BH290 V378:BH378 P379:BH65536 P184:U378 V377:BG377 AM376:BG376 V368:BH372 V373:BG374 V375:AJ375 AL375:BG375 V376:AK376">
    <cfRule type="expression" priority="4" dxfId="14" stopIfTrue="1">
      <formula>$O$1=""</formula>
    </cfRule>
  </conditionalFormatting>
  <conditionalFormatting sqref="AB136">
    <cfRule type="expression" priority="3" dxfId="14" stopIfTrue="1">
      <formula>$O$1=""</formula>
    </cfRule>
  </conditionalFormatting>
  <conditionalFormatting sqref="AT363:AU363">
    <cfRule type="expression" priority="2" dxfId="14" stopIfTrue="1">
      <formula>$O$1=""</formula>
    </cfRule>
  </conditionalFormatting>
  <dataValidations count="9">
    <dataValidation type="date" allowBlank="1" showInputMessage="1" showErrorMessage="1" error="Please check the date entered is in the correct format and/or within the valid range." sqref="H32:H41">
      <formula1>G32</formula1>
      <formula2>$Z$27</formula2>
    </dataValidation>
    <dataValidation type="date" allowBlank="1" showInputMessage="1" showErrorMessage="1" error="Please check the date entered is in the correct format and/or within the valid range." sqref="G33:G41">
      <formula1>H32+1</formula1>
      <formula2>$Z$27</formula2>
    </dataValidation>
    <dataValidation type="list" allowBlank="1" showInputMessage="1" showErrorMessage="1" error="Please select from dropdown box." sqref="I9">
      <formula1>$AC$192:$AC$288</formula1>
    </dataValidation>
    <dataValidation type="list" allowBlank="1" showInputMessage="1" showErrorMessage="1" error="Please select from dropdown box." sqref="I16 I19">
      <formula1>"Yes,No"</formula1>
    </dataValidation>
    <dataValidation type="date" allowBlank="1" showInputMessage="1" showErrorMessage="1" error="Please check the date entered is in the correct format and/or within the valid range." sqref="G32">
      <formula1>$Y$27</formula1>
      <formula2>$Z$27</formula2>
    </dataValidation>
    <dataValidation type="date" allowBlank="1" showInputMessage="1" showErrorMessage="1" error="Please enter a valid date." sqref="M25:M29">
      <formula1>#REF!</formula1>
      <formula2>#REF!</formula2>
    </dataValidation>
    <dataValidation type="date" allowBlank="1" showInputMessage="1" showErrorMessage="1" error="Please enter a valid date." sqref="L99:M99">
      <formula1>#REF!</formula1>
      <formula2>#REF!</formula2>
    </dataValidation>
    <dataValidation allowBlank="1" showInputMessage="1" showErrorMessage="1" error="Please enter a valid date." sqref="I43:K45 L30:M30 I31:K31"/>
    <dataValidation operator="greaterThanOrEqual" allowBlank="1" showInputMessage="1" showErrorMessage="1" error="Please enter date that is greater or equal to Date of Arrival" sqref="F22 F14 L9:M9 L19:M19 N19:N21 L16:M16 N24:N31 N43:N45 O48:P48 C32:C42 N113:N173 N99:N104 M24 L25:L29"/>
  </dataValidations>
  <hyperlinks>
    <hyperlink ref="C58:N58" r:id="rId1" display="FORM IR586 - Claim for Tax Treaty Exemption (for services rendered by Non-Resident Professionals)"/>
    <hyperlink ref="D54:E54" r:id="rId2" display="http://www.iras.gov.sg/irasHome/page01.aspx?id=758"/>
    <hyperlink ref="D54:F54" r:id="rId3" display="https://www.iras.gov.sg/taxes/withholding-tax/payments-to-non-resident-professional-(consultant-trainer-coach-etc-)/tax-obligations-for-non-resident-professional"/>
    <hyperlink ref="I54:J54" r:id="rId4" display="https://www.iras.gov.sg/irashome/Quick-Links/Forms/Businesses/S45-Withholding-Tax-forms/"/>
    <hyperlink ref="I51:J51" r:id="rId5" display="https://www.iras.gov.sg/irashome/Quick-Links/Forms/Businesses/S45-Withholding-Tax-forms/"/>
    <hyperlink ref="F7:G7" r:id="rId6" display="https://www.iras.gov.sg/irashome/Quick-Links/International-Tax/List-of-DTAs--limited-treaties-and-EOI-arrangements/"/>
    <hyperlink ref="H53" r:id="rId7" display="https://www.iras.gov.sg/irashome/Other-Taxes/Withholding-tax/Filing-and-Paying-Withholding-Tax/When-to-File-and-Pay-Withholding-Tax/Claiming-Relief/Exemption-under-the-Avoidance-of-Double-Taxation-Agreement/"/>
    <hyperlink ref="I54:K54" r:id="rId8" display="https://www.iras.gov.sg/taxes/withholding-tax/withholding-tax-filing/how-to-file"/>
    <hyperlink ref="L93" r:id="rId9" display="S45 withholding tax form."/>
    <hyperlink ref="I51:K51" r:id="rId10" display="https://www.iras.gov.sg/irashome/Other-Taxes/Withholding-tax/Non-resident-professionals/Tax-for-Non-Resident-Professionals/"/>
    <hyperlink ref="C4:N4" r:id="rId11" display="To determine if exemption/ reduced withholding tax rate applies to a  Non-Resident Professional  performing services in Singapore"/>
    <hyperlink ref="G7:H7" r:id="rId12" display="https://www.iras.gov.sg/taxes/international-tax/international-tax-agreements-concluded-by-singapore/list-of-dtas-limited-dtas-and-eoi-arrangements"/>
    <hyperlink ref="L93:M93" r:id="rId13" display="S45 withholding tax form."/>
  </hyperlinks>
  <printOptions horizontalCentered="1" verticalCentered="1"/>
  <pageMargins left="0.3937007874015748" right="0.3937007874015748" top="0.1968503937007874" bottom="0.1968503937007874" header="0.11811023622047245" footer="0.11811023622047245"/>
  <pageSetup fitToHeight="1" fitToWidth="1" horizontalDpi="200" verticalDpi="200" orientation="portrait" paperSize="9" scale="62" r:id="rId16"/>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DTA Calculator for Non-Resident Professionals</dc:title>
  <dc:subject/>
  <dc:creator>Loh Zhiqi;Margaret Hong</dc:creator>
  <cp:keywords/>
  <dc:description/>
  <cp:lastModifiedBy>Margaret HONG (IRAS)</cp:lastModifiedBy>
  <cp:lastPrinted>2018-11-26T08:00:42Z</cp:lastPrinted>
  <dcterms:created xsi:type="dcterms:W3CDTF">2010-04-27T00:55:27Z</dcterms:created>
  <dcterms:modified xsi:type="dcterms:W3CDTF">2022-07-04T09:18:34Z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0x01010040103D6B435B36418DD6D88ABEE38104</vt:lpwstr>
  </property>
  <property fmtid="{D5CDD505-2E9C-101B-9397-08002B2CF9AE}" pid="3" name="MSIP_Label_4aaa7e78-45b1-4890-b8a3-003d1d728a3e_Enabled">
    <vt:lpwstr>true</vt:lpwstr>
  </property>
  <property fmtid="{D5CDD505-2E9C-101B-9397-08002B2CF9AE}" pid="4" name="MSIP_Label_4aaa7e78-45b1-4890-b8a3-003d1d728a3e_SetDate">
    <vt:lpwstr>2022-04-25T07:36:12Z</vt:lpwstr>
  </property>
  <property fmtid="{D5CDD505-2E9C-101B-9397-08002B2CF9AE}" pid="5" name="MSIP_Label_4aaa7e78-45b1-4890-b8a3-003d1d728a3e_Method">
    <vt:lpwstr>Privileged</vt:lpwstr>
  </property>
  <property fmtid="{D5CDD505-2E9C-101B-9397-08002B2CF9AE}" pid="6" name="MSIP_Label_4aaa7e78-45b1-4890-b8a3-003d1d728a3e_Name">
    <vt:lpwstr>Non Sensitive</vt:lpwstr>
  </property>
  <property fmtid="{D5CDD505-2E9C-101B-9397-08002B2CF9AE}" pid="7" name="MSIP_Label_4aaa7e78-45b1-4890-b8a3-003d1d728a3e_SiteId">
    <vt:lpwstr>0b11c524-9a1c-4e1b-84cb-6336aefc2243</vt:lpwstr>
  </property>
  <property fmtid="{D5CDD505-2E9C-101B-9397-08002B2CF9AE}" pid="8" name="MSIP_Label_4aaa7e78-45b1-4890-b8a3-003d1d728a3e_ActionId">
    <vt:lpwstr>0d84d3f1-327c-4447-8426-a1fa8dedda61</vt:lpwstr>
  </property>
  <property fmtid="{D5CDD505-2E9C-101B-9397-08002B2CF9AE}" pid="9" name="MSIP_Label_4aaa7e78-45b1-4890-b8a3-003d1d728a3e_ContentBits">
    <vt:lpwstr>0</vt:lpwstr>
  </property>
</Properties>
</file>