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C:\Users\INLTJYF\Desktop\Website\YA 2026\No Changes\"/>
    </mc:Choice>
  </mc:AlternateContent>
  <xr:revisionPtr revIDLastSave="0" documentId="13_ncr:1_{E7AC2133-5A72-4613-A323-3D77733E9A78}" xr6:coauthVersionLast="47" xr6:coauthVersionMax="47" xr10:uidLastSave="{00000000-0000-0000-0000-000000000000}"/>
  <bookViews>
    <workbookView xWindow="28680" yWindow="-120" windowWidth="29040" windowHeight="15720" xr2:uid="{3D9F7F92-468B-4041-818F-153A76A4D278}"/>
  </bookViews>
  <sheets>
    <sheet name="Non-Resident Calculator" sheetId="1" r:id="rId1"/>
    <sheet name="codes" sheetId="2" state="hidden" r:id="rId2"/>
  </sheets>
  <definedNames>
    <definedName name="balancetaxrebatepercent">codes!$D$16</definedName>
    <definedName name="EIR">codes!$M$2:$M$7</definedName>
    <definedName name="EmptNRtaxates">codes!$K$2</definedName>
    <definedName name="OthersNRtaxrates">codes!$K$3</definedName>
    <definedName name="_xlnm.Print_Area" localSheetId="0">'Non-Resident Calculator'!$A$1:$O$61</definedName>
    <definedName name="residenttax">codes!$A$2:$C$14</definedName>
    <definedName name="s40taxrates">codes!$F$2:$H$12</definedName>
    <definedName name="taxrebateamt">codes!$B$16</definedName>
    <definedName name="taxrebatepercent">codes!$C$16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O15" i="1"/>
  <c r="O23" i="1"/>
  <c r="O24" i="1"/>
  <c r="P24" i="1"/>
  <c r="B32" i="1"/>
  <c r="G38" i="1"/>
  <c r="O45" i="1"/>
  <c r="G59" i="1"/>
  <c r="H59" i="1"/>
  <c r="G60" i="1"/>
  <c r="D16" i="2"/>
  <c r="L25" i="1" l="1"/>
  <c r="N27" i="1" s="1"/>
  <c r="R24" i="1"/>
  <c r="P23" i="1"/>
  <c r="R23" i="1" s="1"/>
  <c r="C99" i="1" s="1"/>
  <c r="C102" i="1"/>
  <c r="N20" i="1"/>
  <c r="L17" i="1"/>
  <c r="C89" i="1"/>
  <c r="C90" i="1" s="1"/>
  <c r="P15" i="1" l="1"/>
  <c r="C109" i="1" s="1"/>
  <c r="F109" i="1" s="1"/>
  <c r="L29" i="1"/>
  <c r="C91" i="1"/>
  <c r="C92" i="1"/>
  <c r="H103" i="1"/>
  <c r="C103" i="1" s="1"/>
  <c r="I103" i="1"/>
  <c r="F108" i="1"/>
  <c r="R15" i="1"/>
  <c r="C110" i="1"/>
  <c r="C105" i="1" l="1"/>
  <c r="C104" i="1"/>
  <c r="C106" i="1"/>
  <c r="C94" i="1"/>
  <c r="C95" i="1"/>
  <c r="C93" i="1"/>
  <c r="C96" i="1" l="1"/>
  <c r="C97" i="1"/>
  <c r="C107" i="1"/>
  <c r="C108" i="1" s="1"/>
  <c r="G108" i="1" l="1"/>
  <c r="B111" i="1"/>
  <c r="C111" i="1" s="1"/>
  <c r="L47" i="1" l="1"/>
  <c r="N47" i="1" s="1"/>
  <c r="L49" i="1"/>
  <c r="F37" i="1"/>
  <c r="N15" i="1"/>
  <c r="N54" i="1"/>
  <c r="L51" i="1"/>
  <c r="N51" i="1" s="1"/>
  <c r="N41" i="1" l="1"/>
  <c r="N40" i="1"/>
  <c r="N45" i="1"/>
  <c r="N44" i="1"/>
  <c r="N43" i="1"/>
  <c r="N42" i="1"/>
  <c r="N49" i="1"/>
  <c r="L5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INLLMHB</author>
  </authors>
  <commentList>
    <comment ref="L10" authorId="0" shapeId="0" xr:uid="{56160E9F-2A1B-423D-A1DC-F75BA626F146}">
      <text>
        <r>
          <rPr>
            <u/>
            <sz val="9"/>
            <rFont val="Century Gothic"/>
            <family val="2"/>
          </rPr>
          <t>Salary</t>
        </r>
        <r>
          <rPr>
            <sz val="9"/>
            <rFont val="Century Gothic"/>
            <family val="2"/>
          </rPr>
          <t xml:space="preserve">
Enter your gross salary earned for the previous year.
DO NOT deduct CPF paid when your enter this figure.
Click on "Salary" for details.</t>
        </r>
      </text>
    </comment>
    <comment ref="L11" authorId="0" shapeId="0" xr:uid="{9800F983-42A1-4A63-A839-7A8A0B14B5E9}">
      <text>
        <r>
          <rPr>
            <u/>
            <sz val="9"/>
            <rFont val="Century Gothic"/>
            <family val="2"/>
          </rPr>
          <t>Bonus</t>
        </r>
        <r>
          <rPr>
            <sz val="9"/>
            <rFont val="Century Gothic"/>
            <family val="2"/>
          </rPr>
          <t xml:space="preserve">
Enter your gross bonus earned for the previous year.
DO NOT deduct CPF paid when your enter this figure.
Click on "Bonus" for details.</t>
        </r>
      </text>
    </comment>
    <comment ref="L12" authorId="0" shapeId="0" xr:uid="{D6668F69-98F1-4BE4-9EFF-E33D0164AA4F}">
      <text>
        <r>
          <rPr>
            <u/>
            <sz val="9"/>
            <rFont val="Century Gothic"/>
            <family val="2"/>
          </rPr>
          <t>Director's fee</t>
        </r>
        <r>
          <rPr>
            <sz val="9"/>
            <rFont val="Century Gothic"/>
            <family val="2"/>
          </rPr>
          <t xml:space="preserve">
Enter your Director's fee received for the previous year.
DO NOT deduct CPF paid when your enter this figure.
Click on "Director's fee" for details.</t>
        </r>
      </text>
    </comment>
    <comment ref="L13" authorId="0" shapeId="0" xr:uid="{43A80532-E575-48C8-AFA6-94278F7E5B6D}">
      <text>
        <r>
          <rPr>
            <u/>
            <sz val="9"/>
            <rFont val="Century Gothic"/>
            <family val="2"/>
          </rPr>
          <t>Others</t>
        </r>
        <r>
          <rPr>
            <sz val="9"/>
            <rFont val="Century Gothic"/>
            <family val="2"/>
          </rPr>
          <t xml:space="preserve">
Enter your other employment income for the previous year (e.g. part-time income, gratuity, pay in lieu of notice, allowances and benefits in kind).
Click on "Others" for details.
</t>
        </r>
      </text>
    </comment>
    <comment ref="L15" authorId="0" shapeId="0" xr:uid="{5148EA7C-EDBA-46B7-A99B-9CADCB5EDE8C}">
      <text>
        <r>
          <rPr>
            <u/>
            <sz val="9"/>
            <rFont val="Century Gothic"/>
            <family val="2"/>
          </rPr>
          <t>Employment expenses</t>
        </r>
        <r>
          <rPr>
            <sz val="9"/>
            <rFont val="Century Gothic"/>
            <family val="2"/>
          </rPr>
          <t xml:space="preserve">
Enter your allowable employment expenses.
Click on the "Employment expenses" for details.</t>
        </r>
      </text>
    </comment>
    <comment ref="L20" authorId="0" shapeId="0" xr:uid="{82FE3152-D7BD-4BBE-A40B-81201A2C165F}">
      <text>
        <r>
          <rPr>
            <u/>
            <sz val="9"/>
            <rFont val="Century Gothic"/>
            <family val="2"/>
          </rPr>
          <t>Pension</t>
        </r>
        <r>
          <rPr>
            <sz val="9"/>
            <rFont val="Century Gothic"/>
            <family val="2"/>
          </rPr>
          <t xml:space="preserve">
Enter your pension received in the previous year.
Click "Pension" for details.</t>
        </r>
      </text>
    </comment>
    <comment ref="L21" authorId="0" shapeId="0" xr:uid="{EE12EAC5-BE39-47B3-B91D-520FACFC5362}">
      <text>
        <r>
          <rPr>
            <u/>
            <sz val="9"/>
            <rFont val="Century Gothic"/>
            <family val="2"/>
          </rPr>
          <t xml:space="preserve">Interest </t>
        </r>
        <r>
          <rPr>
            <sz val="9"/>
            <rFont val="Century Gothic"/>
            <family val="2"/>
          </rPr>
          <t xml:space="preserve">
Enter your interest income received in the previous year if it is NOT from </t>
        </r>
        <r>
          <rPr>
            <u/>
            <sz val="9"/>
            <rFont val="Century Gothic"/>
            <family val="2"/>
          </rPr>
          <t>deposits with approved banks or licensed finance companies in Singapore</t>
        </r>
        <r>
          <rPr>
            <sz val="9"/>
            <rFont val="Century Gothic"/>
            <family val="2"/>
          </rPr>
          <t>.
Click "Interest" for details.</t>
        </r>
      </text>
    </comment>
    <comment ref="L22" authorId="0" shapeId="0" xr:uid="{02369254-D69A-4BDD-B6A0-71BB3D4199FD}">
      <text>
        <r>
          <rPr>
            <u/>
            <sz val="9"/>
            <rFont val="Century Gothic"/>
            <family val="2"/>
          </rPr>
          <t>Rent &amp; Other Income from Property</t>
        </r>
        <r>
          <rPr>
            <sz val="9"/>
            <rFont val="Century Gothic"/>
            <family val="2"/>
          </rPr>
          <t xml:space="preserve">
Enter your net rent or other income from property in the previous year.
Click "Rent &amp; Other Income from Property" for details.</t>
        </r>
      </text>
    </comment>
    <comment ref="L23" authorId="0" shapeId="0" xr:uid="{41A25D95-FF54-488D-ADC1-15E22BC10855}">
      <text>
        <r>
          <rPr>
            <u/>
            <sz val="9"/>
            <rFont val="Century Gothic"/>
            <family val="2"/>
          </rPr>
          <t>Royalty, Charge, Estate/Trust Income</t>
        </r>
        <r>
          <rPr>
            <sz val="9"/>
            <rFont val="Century Gothic"/>
            <family val="2"/>
          </rPr>
          <t xml:space="preserve">
Enter your royalty, charge or estate/trust income received in the previous year.
Click " Royalty, Charge, Estate/Trust Income" for details</t>
        </r>
        <r>
          <rPr>
            <sz val="8"/>
            <rFont val="Tahoma"/>
            <family val="2"/>
          </rPr>
          <t xml:space="preserve">
</t>
        </r>
      </text>
    </comment>
    <comment ref="L27" authorId="0" shapeId="0" xr:uid="{71AE5E70-CB5A-4EA4-9BF7-89966484E78B}">
      <text>
        <r>
          <rPr>
            <u/>
            <sz val="9"/>
            <rFont val="Century Gothic"/>
            <family val="2"/>
          </rPr>
          <t>Approved Donations</t>
        </r>
        <r>
          <rPr>
            <sz val="9"/>
            <rFont val="Century Gothic"/>
            <family val="2"/>
          </rPr>
          <t xml:space="preserve">
Enter 2.5 times of the amount donated to approved Institution of Public Character (IPC). 
For example, if you donate $100 to an IPC, you will be given a $250 deduction. 
Click on "Approved Donations" for details.</t>
        </r>
      </text>
    </comment>
    <comment ref="L40" authorId="0" shapeId="0" xr:uid="{B6D9B0F6-C993-4FF1-9BC8-F26B4310E925}">
      <text>
        <r>
          <rPr>
            <u/>
            <sz val="9"/>
            <rFont val="Century Gothic"/>
            <family val="2"/>
          </rPr>
          <t xml:space="preserve">Earned Income Relief
Enter the lower of your earned income or the following values:
</t>
        </r>
        <r>
          <rPr>
            <sz val="9"/>
            <rFont val="Century Gothic"/>
            <family val="2"/>
          </rPr>
          <t>- $1,000 (If you are below 55)
- $6,000 (55 to 59)
- $8,000 (60 and above)</t>
        </r>
        <r>
          <rPr>
            <u/>
            <sz val="9"/>
            <rFont val="Century Gothic"/>
            <family val="2"/>
          </rPr>
          <t xml:space="preserve">
For persons with disability, the maximum earned income relief will be:
</t>
        </r>
        <r>
          <rPr>
            <sz val="9"/>
            <rFont val="Century Gothic"/>
            <family val="2"/>
          </rPr>
          <t>- $4,000 (If you are below 55)
- $10,000 (55 to 59)
- $12,000 (60 and above)</t>
        </r>
        <r>
          <rPr>
            <u/>
            <sz val="9"/>
            <rFont val="Century Gothic"/>
            <family val="2"/>
          </rPr>
          <t xml:space="preserve">
</t>
        </r>
        <r>
          <rPr>
            <sz val="9"/>
            <rFont val="Century Gothic"/>
            <family val="2"/>
          </rPr>
          <t>Click "Earned income relief" for details.</t>
        </r>
      </text>
    </comment>
    <comment ref="L41" authorId="0" shapeId="0" xr:uid="{89D58BAE-CC0B-4D3B-BCD3-D7B8ACCE49AD}">
      <text>
        <r>
          <rPr>
            <u/>
            <sz val="9"/>
            <rFont val="Century Gothic"/>
            <family val="2"/>
          </rPr>
          <t>Spouse Relief/ Spouse Relief (Disability)</t>
        </r>
        <r>
          <rPr>
            <sz val="9"/>
            <rFont val="Century Gothic"/>
            <family val="2"/>
          </rPr>
          <t xml:space="preserve">
Enter $2,000 for spouse relief or $5,500 for spouse relief (disability). 
You are only eligible for spouse relief if the income of your spouse is not more than $8,000* in the basis year. 
*Prior to Year of Assessment 2025 (i.e. year 2024), the annual income threshold is $4,000. 
Click "Spouse Relief/ Spouse Relief (Disability)" for details.</t>
        </r>
      </text>
    </comment>
    <comment ref="L42" authorId="0" shapeId="0" xr:uid="{E484167D-9BD0-45BE-87F7-29334A54149F}">
      <text>
        <r>
          <rPr>
            <u/>
            <sz val="9"/>
            <rFont val="Century Gothic"/>
            <family val="2"/>
          </rPr>
          <t>Qualifying child relief (QCR)</t>
        </r>
        <r>
          <rPr>
            <sz val="9"/>
            <rFont val="Century Gothic"/>
            <family val="2"/>
          </rPr>
          <t xml:space="preserve">
- Enter $4,000 per child
C</t>
        </r>
        <r>
          <rPr>
            <u/>
            <sz val="9"/>
            <rFont val="Century Gothic"/>
            <family val="2"/>
          </rPr>
          <t>hild Relief (Disability)</t>
        </r>
        <r>
          <rPr>
            <sz val="9"/>
            <rFont val="Century Gothic"/>
            <family val="2"/>
          </rPr>
          <t xml:space="preserve"> 
- Enter $7,500 per child
Click " Qualifying Child Relief/ Child Relief (Disability)" for details.</t>
        </r>
      </text>
    </comment>
    <comment ref="L43" authorId="0" shapeId="0" xr:uid="{F5B78E11-7C0B-4A03-B5AC-CE40A0B90081}">
      <text>
        <r>
          <rPr>
            <u/>
            <sz val="9"/>
            <rFont val="Century Gothic"/>
            <family val="2"/>
          </rPr>
          <t xml:space="preserve">Working Mother's Child Relief (WMCR) </t>
        </r>
        <r>
          <rPr>
            <sz val="9"/>
            <rFont val="Century Gothic"/>
            <family val="2"/>
          </rPr>
          <t xml:space="preserve">
Enter the amount - 
</t>
        </r>
        <r>
          <rPr>
            <u/>
            <sz val="9"/>
            <rFont val="Century Gothic"/>
            <family val="2"/>
          </rPr>
          <t xml:space="preserve">WMCR for a Qualifying Singaporean child born/adopted </t>
        </r>
        <r>
          <rPr>
            <b/>
            <u/>
            <sz val="9"/>
            <rFont val="Century Gothic"/>
            <family val="2"/>
          </rPr>
          <t>on or after</t>
        </r>
        <r>
          <rPr>
            <u/>
            <sz val="9"/>
            <rFont val="Century Gothic"/>
            <family val="2"/>
          </rPr>
          <t xml:space="preserve"> 1 Jan 2024</t>
        </r>
        <r>
          <rPr>
            <sz val="9"/>
            <rFont val="Century Gothic"/>
            <family val="2"/>
          </rPr>
          <t xml:space="preserve">
1st Child - $8,000 
2nd Child - $10,000
3rd child and each subsequent child - $12,000
</t>
        </r>
        <r>
          <rPr>
            <u/>
            <sz val="9"/>
            <rFont val="Century Gothic"/>
            <family val="2"/>
          </rPr>
          <t xml:space="preserve">WMCR for a Qualifying Singaporean child born/adopted </t>
        </r>
        <r>
          <rPr>
            <b/>
            <u/>
            <sz val="9"/>
            <rFont val="Century Gothic"/>
            <family val="2"/>
          </rPr>
          <t>before</t>
        </r>
        <r>
          <rPr>
            <u/>
            <sz val="9"/>
            <rFont val="Century Gothic"/>
            <family val="2"/>
          </rPr>
          <t xml:space="preserve"> 1 Jan 2024</t>
        </r>
        <r>
          <rPr>
            <sz val="9"/>
            <rFont val="Century Gothic"/>
            <family val="2"/>
          </rPr>
          <t xml:space="preserve">
1st Child - 15% of mother’s earned income
2nd child - 20% of mother’s earned income
3rd child and each subsequent child - 25% of mother’s earned income
Cumulative WMCR percentages are capped at 100% of mother's earned income. 
Note: The sum of all child reliefs claimable is subject to a cap of $50,000 for each child.  
Click "Working Mother's Child Relief" for details.</t>
        </r>
      </text>
    </comment>
    <comment ref="L44" authorId="0" shapeId="0" xr:uid="{310F3013-A046-4A4A-824B-CBEC0EC8AC94}">
      <text>
        <r>
          <rPr>
            <u/>
            <sz val="9"/>
            <rFont val="Century Gothic"/>
            <family val="2"/>
          </rPr>
          <t>Central Provident Fund (CPF) Relief</t>
        </r>
        <r>
          <rPr>
            <sz val="9"/>
            <rFont val="Century Gothic"/>
            <family val="2"/>
          </rPr>
          <t xml:space="preserve">
Enter the amount of allowable CPF contribution, subject to CPF capping rules. 
Click "Central Provident Fund (CPF) Relief" for details.</t>
        </r>
      </text>
    </comment>
    <comment ref="L45" authorId="0" shapeId="0" xr:uid="{934D2499-6789-464C-8D8C-6117FCB2B1D7}">
      <text>
        <r>
          <rPr>
            <u/>
            <sz val="9"/>
            <rFont val="Century Gothic"/>
            <family val="2"/>
          </rPr>
          <t>Life insurance relief</t>
        </r>
        <r>
          <rPr>
            <sz val="9"/>
            <rFont val="Century Gothic"/>
            <family val="2"/>
          </rPr>
          <t xml:space="preserve">
You are eligible to claim life insurance relief up to a maximum of $5,000 if you have zero CPF contribution. Otherwise, you may claim the difference between the cap of $5,000 and your CPF contribution.
E.g.
If your total allowable CPF contributions exceed $5,000, you will not get any relief for the insurance premium paid.
Click " Life Insurance Relief" for details.</t>
        </r>
      </text>
    </comment>
    <comment ref="L52" authorId="0" shapeId="0" xr:uid="{E4E89CE1-92D8-4AB9-9624-236C26632A88}">
      <text>
        <r>
          <rPr>
            <u/>
            <sz val="9"/>
            <rFont val="Century Gothic"/>
            <family val="2"/>
          </rPr>
          <t xml:space="preserve">Tax credit
</t>
        </r>
        <r>
          <rPr>
            <sz val="9"/>
            <rFont val="Century Gothic"/>
            <family val="2"/>
          </rPr>
          <t>Enter the amount of 
'tax deducted at source' from interest, Director's fee, consultation fees, etc derived from Singapore</t>
        </r>
      </text>
    </comment>
  </commentList>
</comments>
</file>

<file path=xl/sharedStrings.xml><?xml version="1.0" encoding="utf-8"?>
<sst xmlns="http://schemas.openxmlformats.org/spreadsheetml/2006/main" count="132" uniqueCount="101">
  <si>
    <t xml:space="preserve">TIP: For more information, move your mouse over the fields. </t>
  </si>
  <si>
    <t>S$</t>
  </si>
  <si>
    <t>EMPLOYMENT INCOME:</t>
  </si>
  <si>
    <t xml:space="preserve">Salary </t>
  </si>
  <si>
    <t>Bonus</t>
  </si>
  <si>
    <t>Director's fee</t>
  </si>
  <si>
    <t xml:space="preserve">Others </t>
  </si>
  <si>
    <t>Less:</t>
  </si>
  <si>
    <t>NET EMPLOYMENT INCOME</t>
  </si>
  <si>
    <t>Add: OTHER INCOME</t>
  </si>
  <si>
    <t>Pension</t>
  </si>
  <si>
    <t>Interest</t>
  </si>
  <si>
    <t>Rent &amp; Other Income from Property</t>
  </si>
  <si>
    <t xml:space="preserve">Royalty,  </t>
  </si>
  <si>
    <t>Charge,</t>
  </si>
  <si>
    <t>Estate/Trust Income</t>
  </si>
  <si>
    <t>TOTAL INCOME</t>
  </si>
  <si>
    <t xml:space="preserve">Less:   </t>
  </si>
  <si>
    <t>Approved Donations</t>
  </si>
  <si>
    <t>ASSESSABLE INCOME</t>
  </si>
  <si>
    <t xml:space="preserve">Please check the relevant box if you are eligible to claim </t>
  </si>
  <si>
    <t xml:space="preserve">Section 40 relief </t>
  </si>
  <si>
    <t>A non-resident Singapore citizen; or</t>
  </si>
  <si>
    <t>A non-resident deriving pension income from Singapore; or</t>
  </si>
  <si>
    <t xml:space="preserve">A non-resident residing in the Netherlands </t>
  </si>
  <si>
    <t>Less: PERSONAL RELIEFS</t>
  </si>
  <si>
    <t>CHARGEABLE INCOME</t>
  </si>
  <si>
    <t>Tax Payable on Chargeable Income</t>
  </si>
  <si>
    <t xml:space="preserve">Less: </t>
  </si>
  <si>
    <t>Section 40 relief</t>
  </si>
  <si>
    <t>(applicable only if you have selected to claim the relief)</t>
  </si>
  <si>
    <t>Tax credit</t>
  </si>
  <si>
    <t>NET TAX PAYABLE/(REPAYABLE)</t>
  </si>
  <si>
    <t>TAX RATE TABLE FOR NON-RESIDENT INDIVIDUALS</t>
  </si>
  <si>
    <t>Employment income</t>
  </si>
  <si>
    <t>whichever is higher</t>
  </si>
  <si>
    <t>Director's fees, rental income &amp; other sources of income</t>
  </si>
  <si>
    <t>TAX RATE TABLE FOR SECTION 40 NON-RESIDENT RELIEFS</t>
  </si>
  <si>
    <t>Chargeable 
Income</t>
  </si>
  <si>
    <t>Rate</t>
  </si>
  <si>
    <t>Gross Tax Payable</t>
  </si>
  <si>
    <t>$</t>
  </si>
  <si>
    <t>(%)</t>
  </si>
  <si>
    <t>On the first</t>
  </si>
  <si>
    <t>On the next</t>
  </si>
  <si>
    <t>Exceeding</t>
  </si>
  <si>
    <t>Section 40 reliefs</t>
  </si>
  <si>
    <t>Section 40 reliefs table</t>
  </si>
  <si>
    <t>Amount to use</t>
  </si>
  <si>
    <t>1st $n</t>
  </si>
  <si>
    <t>Tax Amt</t>
  </si>
  <si>
    <t>Step 1</t>
  </si>
  <si>
    <t>Step 2</t>
  </si>
  <si>
    <t>Final 1st $n</t>
  </si>
  <si>
    <t>1st $n Tax</t>
  </si>
  <si>
    <t>Next Amount</t>
  </si>
  <si>
    <t>Marginal Tax Rate (%)</t>
  </si>
  <si>
    <t>Next Amount Tax</t>
  </si>
  <si>
    <t>Tax on NR</t>
  </si>
  <si>
    <t>Pension only</t>
  </si>
  <si>
    <t xml:space="preserve">Tax Resident NTP </t>
  </si>
  <si>
    <t>Tax at resident</t>
  </si>
  <si>
    <t>Non Resident</t>
  </si>
  <si>
    <t>NR w/o S40</t>
  </si>
  <si>
    <t>Compare R VS NR</t>
  </si>
  <si>
    <t>Non-Resident Rate</t>
  </si>
  <si>
    <t>Employment</t>
  </si>
  <si>
    <t>Others</t>
  </si>
  <si>
    <t>Error Messages</t>
  </si>
  <si>
    <t>Please only check one box</t>
  </si>
  <si>
    <t>Error</t>
  </si>
  <si>
    <t>Please select correct Checkbox</t>
  </si>
  <si>
    <t>Please enter reliefs, where applicable</t>
  </si>
  <si>
    <t>Total reliefs for CPF and Life Insurance is capped at $5,000</t>
  </si>
  <si>
    <t>Resident Rates</t>
  </si>
  <si>
    <t>Non-Resident Rates</t>
  </si>
  <si>
    <t xml:space="preserve">Progressive Resident Rates applied. </t>
  </si>
  <si>
    <t>Section 40 relief claim</t>
  </si>
  <si>
    <t>Normal Non Resident</t>
  </si>
  <si>
    <t>Please enter the pension amount</t>
  </si>
  <si>
    <t>Earned Income Relief not applicable</t>
  </si>
  <si>
    <t>Section 40 relief not applicable</t>
  </si>
  <si>
    <t>Please enter Earned income relief</t>
  </si>
  <si>
    <t>Employment Expenses is not deductible against director fees.</t>
  </si>
  <si>
    <t xml:space="preserve">Expenses not allowed </t>
  </si>
  <si>
    <t>Donations not allowed</t>
  </si>
  <si>
    <t>Income Tax Calculator for Non-Resident Individuals</t>
  </si>
  <si>
    <t>Tax Rebate</t>
  </si>
  <si>
    <t>Resident Tabl</t>
  </si>
  <si>
    <t>Earned Income Relief</t>
  </si>
  <si>
    <t>What to do: Enter amount in the grey boxes. If a box is not applicable, leave it blank.</t>
  </si>
  <si>
    <t xml:space="preserve">(Complete only if your income is subject to tax at </t>
  </si>
  <si>
    <t>Applicable only for cases where income is subject to tax at Resident Rates</t>
  </si>
  <si>
    <t>https://www.iras.gov.sg/irashome/Individuals/Foreigners/Working-out-your-taxes/Tax-Rates-for-Resident-and-Non-Residents/</t>
  </si>
  <si>
    <t>Spouse Relief/ Spouse Relief (Disability)</t>
  </si>
  <si>
    <t>Qualifying Child Relief (QCR)/ Child Relief (Disability)</t>
  </si>
  <si>
    <t>Working Mother's Child Relief (WMCR)</t>
  </si>
  <si>
    <t>Central Provident Fund (CPF) Relief</t>
  </si>
  <si>
    <t>Life Insurance Relief</t>
  </si>
  <si>
    <t>Employment Expenses</t>
  </si>
  <si>
    <t>The calculator is correct as at 2 Mar 2026.  Please check the IRAS website at www.iras.gov.sg for the latest version.
The calculator provides only estimates based on the stated assumptions and your inputs.  It may not provide for all possible scenarios.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</si>
</sst>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57">
    <font>
      <sz val="10"/>
      <color theme="1"/>
      <name val="Arial"/>
      <family val="2"/>
    </font>
    <font>
      <sz val="10"/>
      <name val="Arial"/>
      <family val="2"/>
    </font>
    <font>
      <b/>
      <sz val="11"/>
      <name val="Century Gothic"/>
      <family val="2"/>
    </font>
    <font>
      <b/>
      <sz val="11"/>
      <name val="Arial"/>
      <family val="2"/>
    </font>
    <font>
      <b/>
      <sz val="11"/>
      <color indexed="12"/>
      <name val="Arial"/>
      <family val="2"/>
    </font>
    <font>
      <sz val="11"/>
      <name val="Arial"/>
      <family val="2"/>
    </font>
    <font>
      <sz val="9"/>
      <name val="Arial"/>
      <family val="2"/>
    </font>
    <font>
      <sz val="9"/>
      <name val="Century Gothic"/>
      <family val="2"/>
    </font>
    <font>
      <u/>
      <sz val="10"/>
      <color indexed="12"/>
      <name val="Arial"/>
      <family val="2"/>
    </font>
    <font>
      <u/>
      <sz val="11"/>
      <color indexed="12"/>
      <name val="Arial"/>
      <family val="2"/>
    </font>
    <font>
      <sz val="11"/>
      <color indexed="12"/>
      <name val="Arial"/>
      <family val="2"/>
    </font>
    <font>
      <b/>
      <sz val="10"/>
      <name val="Arial"/>
      <family val="2"/>
    </font>
    <font>
      <sz val="11"/>
      <name val="Century Gothic"/>
      <family val="2"/>
    </font>
    <font>
      <i/>
      <sz val="11"/>
      <name val="Century Gothic"/>
      <family val="2"/>
    </font>
    <font>
      <sz val="11"/>
      <name val="CG Times (WN)"/>
    </font>
    <font>
      <u/>
      <sz val="9"/>
      <name val="Century Gothic"/>
      <family val="2"/>
    </font>
    <font>
      <sz val="8"/>
      <name val="Tahoma"/>
      <family val="2"/>
    </font>
    <font>
      <sz val="10"/>
      <color indexed="10"/>
      <name val="Arial"/>
      <family val="2"/>
    </font>
    <font>
      <b/>
      <sz val="10"/>
      <color indexed="10"/>
      <name val="Arial"/>
      <family val="2"/>
    </font>
    <font>
      <b/>
      <sz val="11"/>
      <color indexed="10"/>
      <name val="Arial"/>
      <family val="2"/>
    </font>
    <font>
      <sz val="11"/>
      <color indexed="10"/>
      <name val="Arial"/>
      <family val="2"/>
    </font>
    <font>
      <b/>
      <u/>
      <sz val="9"/>
      <name val="Century Gothic"/>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1"/>
      <color theme="10"/>
      <name val="Calibri"/>
      <family val="2"/>
    </font>
    <font>
      <sz val="10"/>
      <color rgb="FF3F3F76"/>
      <name val="Arial"/>
      <family val="2"/>
    </font>
    <font>
      <sz val="10"/>
      <color rgb="FFFA7D00"/>
      <name val="Arial"/>
      <family val="2"/>
    </font>
    <font>
      <sz val="10"/>
      <color rgb="FF9C6500"/>
      <name val="Arial"/>
      <family val="2"/>
    </font>
    <font>
      <sz val="11"/>
      <color theme="1"/>
      <name val="Calibri"/>
      <family val="2"/>
      <scheme val="minor"/>
    </font>
    <font>
      <b/>
      <sz val="10"/>
      <color rgb="FF3F3F3F"/>
      <name val="Arial"/>
      <family val="2"/>
    </font>
    <font>
      <b/>
      <sz val="18"/>
      <color theme="3"/>
      <name val="Cambria"/>
      <family val="2"/>
      <scheme val="major"/>
    </font>
    <font>
      <b/>
      <sz val="10"/>
      <color theme="1"/>
      <name val="Arial"/>
      <family val="2"/>
    </font>
    <font>
      <b/>
      <sz val="9"/>
      <color theme="0"/>
      <name val="Arial"/>
      <family val="2"/>
    </font>
    <font>
      <b/>
      <sz val="9"/>
      <color theme="0"/>
      <name val="Century Gothic"/>
      <family val="2"/>
    </font>
    <font>
      <b/>
      <sz val="11"/>
      <color theme="1"/>
      <name val="Arial"/>
      <family val="2"/>
    </font>
    <font>
      <sz val="9"/>
      <color theme="0"/>
      <name val="Arial"/>
      <family val="2"/>
    </font>
    <font>
      <sz val="9"/>
      <color theme="0"/>
      <name val="Century Gothic"/>
      <family val="2"/>
    </font>
    <font>
      <sz val="11"/>
      <color theme="3" tint="0.39997558519241921"/>
      <name val="Arial"/>
      <family val="2"/>
    </font>
    <font>
      <sz val="11"/>
      <color theme="10"/>
      <name val="Arial"/>
      <family val="2"/>
    </font>
    <font>
      <sz val="11"/>
      <color theme="1"/>
      <name val="Arial"/>
      <family val="2"/>
    </font>
    <font>
      <b/>
      <u/>
      <sz val="11"/>
      <color theme="3" tint="0.39997558519241921"/>
      <name val="Arial"/>
      <family val="2"/>
    </font>
    <font>
      <b/>
      <sz val="10"/>
      <color theme="3" tint="0.39997558519241921"/>
      <name val="Arial"/>
      <family val="2"/>
    </font>
    <font>
      <sz val="11"/>
      <color theme="1"/>
      <name val="Century Gothic"/>
      <family val="2"/>
    </font>
    <font>
      <b/>
      <sz val="11"/>
      <color rgb="FF0070C0"/>
      <name val="Arial"/>
      <family val="2"/>
    </font>
    <font>
      <sz val="16"/>
      <color theme="0"/>
      <name val="Arial"/>
      <family val="2"/>
    </font>
    <font>
      <sz val="11"/>
      <color rgb="FF0070C0"/>
      <name val="Century Gothic"/>
      <family val="2"/>
    </font>
    <font>
      <b/>
      <sz val="11"/>
      <color theme="0"/>
      <name val="Arial"/>
      <family val="2"/>
    </font>
    <font>
      <u/>
      <sz val="11"/>
      <color theme="10"/>
      <name val="Arial"/>
      <family val="2"/>
    </font>
    <font>
      <i/>
      <sz val="11"/>
      <name val="Arial"/>
      <family val="2"/>
    </font>
  </fonts>
  <fills count="41">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indexed="47"/>
        <bgColor indexed="64"/>
      </patternFill>
    </fill>
    <fill>
      <patternFill patternType="solid">
        <fgColor indexed="44"/>
        <bgColor indexed="64"/>
      </patternFill>
    </fill>
    <fill>
      <patternFill patternType="solid">
        <fgColor indexed="9"/>
        <bgColor indexed="64"/>
      </patternFill>
    </fill>
    <fill>
      <patternFill patternType="solid">
        <fgColor indexed="34"/>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
      <patternFill patternType="solid">
        <fgColor theme="0" tint="-0.14975432599871821"/>
        <bgColor indexed="64"/>
      </patternFill>
    </fill>
    <fill>
      <patternFill patternType="solid">
        <fgColor theme="0" tint="-0.24973296304208503"/>
        <bgColor indexed="64"/>
      </patternFill>
    </fill>
    <fill>
      <patternFill patternType="solid">
        <fgColor rgb="FFC00000"/>
        <bgColor indexed="64"/>
      </patternFill>
    </fill>
    <fill>
      <patternFill patternType="solid">
        <fgColor theme="4" tint="-0.24973296304208503"/>
        <bgColor indexed="64"/>
      </patternFill>
    </fill>
  </fills>
  <borders count="22">
    <border>
      <left/>
      <right/>
      <top/>
      <bottom/>
      <diagonal/>
    </border>
    <border>
      <left style="thick">
        <color indexed="9"/>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ck">
        <color indexed="9"/>
      </left>
      <right/>
      <top style="thick">
        <color indexed="9"/>
      </top>
      <bottom/>
      <diagonal/>
    </border>
    <border>
      <left/>
      <right style="thick">
        <color indexed="9"/>
      </right>
      <top style="thick">
        <color indexed="9"/>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74059266945403"/>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theme="3" tint="0.59974974822229687"/>
      </left>
      <right style="medium">
        <color theme="3" tint="0.59974974822229687"/>
      </right>
      <top style="medium">
        <color theme="3" tint="0.59974974822229687"/>
      </top>
      <bottom style="medium">
        <color theme="3" tint="0.59974974822229687"/>
      </bottom>
      <diagonal/>
    </border>
    <border>
      <left style="medium">
        <color theme="3" tint="0.59974974822229687"/>
      </left>
      <right/>
      <top style="medium">
        <color theme="3" tint="0.59974974822229687"/>
      </top>
      <bottom style="medium">
        <color theme="3" tint="0.59974974822229687"/>
      </bottom>
      <diagonal/>
    </border>
    <border>
      <left/>
      <right style="medium">
        <color theme="3" tint="0.59974974822229687"/>
      </right>
      <top style="medium">
        <color theme="3" tint="0.59974974822229687"/>
      </top>
      <bottom style="medium">
        <color theme="3" tint="0.59974974822229687"/>
      </bottom>
      <diagonal/>
    </border>
  </borders>
  <cellStyleXfs count="46">
    <xf numFmtId="0" fontId="0" fillId="0" borderId="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4" fillId="32" borderId="0" applyNumberFormat="0" applyBorder="0" applyAlignment="0" applyProtection="0"/>
    <xf numFmtId="0" fontId="25" fillId="33" borderId="10" applyNumberFormat="0" applyAlignment="0" applyProtection="0"/>
    <xf numFmtId="0" fontId="26" fillId="34" borderId="11" applyNumberFormat="0" applyAlignment="0" applyProtection="0"/>
    <xf numFmtId="0" fontId="27" fillId="0" borderId="0" applyNumberFormat="0" applyFill="0" applyBorder="0" applyAlignment="0" applyProtection="0"/>
    <xf numFmtId="0" fontId="28" fillId="35" borderId="0" applyNumberFormat="0" applyBorder="0" applyAlignment="0" applyProtection="0"/>
    <xf numFmtId="0" fontId="29" fillId="0" borderId="12" applyNumberFormat="0" applyFill="0" applyAlignment="0" applyProtection="0"/>
    <xf numFmtId="0" fontId="30" fillId="0" borderId="13" applyNumberFormat="0" applyFill="0" applyAlignment="0" applyProtection="0"/>
    <xf numFmtId="0" fontId="31" fillId="0" borderId="14"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33" fillId="4" borderId="10" applyNumberFormat="0" applyAlignment="0" applyProtection="0"/>
    <xf numFmtId="0" fontId="34" fillId="0" borderId="15" applyNumberFormat="0" applyFill="0" applyAlignment="0" applyProtection="0"/>
    <xf numFmtId="0" fontId="35" fillId="36" borderId="0" applyNumberFormat="0" applyBorder="0" applyAlignment="0" applyProtection="0"/>
    <xf numFmtId="0" fontId="36" fillId="0" borderId="0"/>
    <xf numFmtId="0" fontId="1" fillId="0" borderId="0"/>
    <xf numFmtId="0" fontId="22" fillId="2" borderId="16" applyNumberFormat="0" applyFont="0" applyAlignment="0" applyProtection="0"/>
    <xf numFmtId="0" fontId="37" fillId="33" borderId="17" applyNumberFormat="0" applyAlignment="0" applyProtection="0"/>
    <xf numFmtId="0" fontId="38" fillId="0" borderId="0" applyNumberFormat="0" applyFill="0" applyBorder="0" applyAlignment="0" applyProtection="0"/>
    <xf numFmtId="0" fontId="39" fillId="0" borderId="18" applyNumberFormat="0" applyFill="0" applyAlignment="0" applyProtection="0"/>
    <xf numFmtId="0" fontId="17" fillId="0" borderId="0" applyNumberFormat="0" applyFill="0" applyBorder="0" applyAlignment="0" applyProtection="0"/>
  </cellStyleXfs>
  <cellXfs count="159">
    <xf numFmtId="0" fontId="0" fillId="0" borderId="0" xfId="0"/>
    <xf numFmtId="0" fontId="17" fillId="0" borderId="0" xfId="0" applyFont="1" applyAlignment="1" applyProtection="1">
      <alignment wrapText="1"/>
      <protection hidden="1"/>
    </xf>
    <xf numFmtId="0" fontId="0" fillId="0" borderId="0" xfId="0" applyProtection="1">
      <protection hidden="1"/>
    </xf>
    <xf numFmtId="0" fontId="17" fillId="0" borderId="0" xfId="0" applyFont="1" applyAlignment="1" applyProtection="1">
      <alignment vertical="center" wrapText="1"/>
      <protection hidden="1"/>
    </xf>
    <xf numFmtId="0" fontId="0" fillId="0" borderId="0" xfId="0" applyAlignment="1" applyProtection="1">
      <alignment vertical="center"/>
      <protection hidden="1"/>
    </xf>
    <xf numFmtId="3" fontId="17" fillId="0" borderId="0" xfId="0" applyNumberFormat="1" applyFont="1" applyAlignment="1" applyProtection="1">
      <alignment wrapText="1"/>
      <protection hidden="1"/>
    </xf>
    <xf numFmtId="0" fontId="3" fillId="6" borderId="0" xfId="40" applyFont="1" applyFill="1" applyAlignment="1" applyProtection="1">
      <alignment horizontal="left" vertical="top"/>
      <protection hidden="1"/>
    </xf>
    <xf numFmtId="0" fontId="4" fillId="6" borderId="0" xfId="40" applyFont="1" applyFill="1" applyAlignment="1" applyProtection="1">
      <alignment horizontal="left" vertical="top"/>
      <protection hidden="1"/>
    </xf>
    <xf numFmtId="0" fontId="40" fillId="6" borderId="0" xfId="39" applyFont="1" applyFill="1" applyProtection="1">
      <protection hidden="1"/>
    </xf>
    <xf numFmtId="0" fontId="41" fillId="6" borderId="0" xfId="39" applyFont="1" applyFill="1" applyProtection="1">
      <protection hidden="1"/>
    </xf>
    <xf numFmtId="0" fontId="42" fillId="6" borderId="0" xfId="40" applyFont="1" applyFill="1" applyAlignment="1" applyProtection="1">
      <alignment horizontal="left" vertical="top"/>
      <protection hidden="1"/>
    </xf>
    <xf numFmtId="0" fontId="3" fillId="0" borderId="0" xfId="40" applyFont="1" applyAlignment="1" applyProtection="1">
      <alignment vertical="top"/>
      <protection hidden="1"/>
    </xf>
    <xf numFmtId="0" fontId="5" fillId="0" borderId="0" xfId="40" applyFont="1" applyProtection="1">
      <protection hidden="1"/>
    </xf>
    <xf numFmtId="0" fontId="43" fillId="6" borderId="0" xfId="39" applyFont="1" applyFill="1" applyProtection="1">
      <protection hidden="1"/>
    </xf>
    <xf numFmtId="0" fontId="44" fillId="6" borderId="0" xfId="39" applyFont="1" applyFill="1" applyProtection="1">
      <protection hidden="1"/>
    </xf>
    <xf numFmtId="0" fontId="6" fillId="6" borderId="0" xfId="39" applyFont="1" applyFill="1" applyProtection="1">
      <protection hidden="1"/>
    </xf>
    <xf numFmtId="0" fontId="7" fillId="6" borderId="0" xfId="39" applyFont="1" applyFill="1" applyProtection="1">
      <protection hidden="1"/>
    </xf>
    <xf numFmtId="0" fontId="1" fillId="0" borderId="0" xfId="0" applyFont="1" applyProtection="1">
      <protection hidden="1"/>
    </xf>
    <xf numFmtId="0" fontId="45" fillId="0" borderId="0" xfId="34" applyFont="1" applyFill="1" applyBorder="1" applyAlignment="1" applyProtection="1">
      <alignment horizontal="left" vertical="top"/>
      <protection hidden="1"/>
    </xf>
    <xf numFmtId="0" fontId="46" fillId="0" borderId="0" xfId="34" applyFont="1" applyFill="1" applyBorder="1" applyAlignment="1" applyProtection="1">
      <alignment vertical="top"/>
      <protection hidden="1"/>
    </xf>
    <xf numFmtId="0" fontId="9" fillId="0" borderId="0" xfId="35" applyFont="1" applyFill="1" applyBorder="1" applyAlignment="1" applyProtection="1">
      <alignment horizontal="left" vertical="top"/>
      <protection hidden="1"/>
    </xf>
    <xf numFmtId="0" fontId="9" fillId="0" borderId="0" xfId="35" applyFont="1" applyFill="1" applyBorder="1" applyAlignment="1" applyProtection="1">
      <alignment vertical="top"/>
      <protection hidden="1"/>
    </xf>
    <xf numFmtId="0" fontId="10" fillId="0" borderId="0" xfId="35" applyFont="1" applyFill="1" applyBorder="1" applyAlignment="1" applyProtection="1">
      <alignment vertical="top"/>
      <protection hidden="1"/>
    </xf>
    <xf numFmtId="3" fontId="5" fillId="0" borderId="0" xfId="40" applyNumberFormat="1" applyFont="1" applyAlignment="1" applyProtection="1">
      <alignment horizontal="center" vertical="center" wrapText="1"/>
      <protection hidden="1"/>
    </xf>
    <xf numFmtId="0" fontId="17" fillId="0" borderId="0" xfId="0" applyFont="1" applyAlignment="1" applyProtection="1">
      <alignment horizontal="left" vertical="center" wrapText="1"/>
      <protection hidden="1"/>
    </xf>
    <xf numFmtId="164" fontId="11" fillId="0" borderId="1" xfId="40" applyNumberFormat="1" applyFont="1" applyBorder="1" applyAlignment="1" applyProtection="1">
      <alignment vertical="top" wrapText="1"/>
      <protection hidden="1"/>
    </xf>
    <xf numFmtId="164" fontId="11" fillId="0" borderId="0" xfId="40" applyNumberFormat="1" applyFont="1" applyAlignment="1" applyProtection="1">
      <alignment horizontal="center" vertical="top" wrapText="1"/>
      <protection hidden="1"/>
    </xf>
    <xf numFmtId="164" fontId="1" fillId="0" borderId="0" xfId="0" applyNumberFormat="1" applyFont="1" applyProtection="1">
      <protection hidden="1"/>
    </xf>
    <xf numFmtId="0" fontId="11" fillId="0" borderId="0" xfId="40" applyFont="1" applyAlignment="1" applyProtection="1">
      <alignment horizontal="center" vertical="top" wrapText="1"/>
      <protection hidden="1"/>
    </xf>
    <xf numFmtId="0" fontId="5" fillId="0" borderId="0" xfId="35" applyFont="1" applyFill="1" applyBorder="1" applyAlignment="1" applyProtection="1">
      <alignment horizontal="left" vertical="top"/>
      <protection hidden="1"/>
    </xf>
    <xf numFmtId="0" fontId="46" fillId="0" borderId="0" xfId="34" applyFont="1" applyFill="1" applyBorder="1" applyAlignment="1" applyProtection="1">
      <alignment horizontal="left" vertical="top"/>
      <protection hidden="1"/>
    </xf>
    <xf numFmtId="0" fontId="18" fillId="0" borderId="0" xfId="40" applyFont="1" applyAlignment="1" applyProtection="1">
      <alignment vertical="top" wrapText="1"/>
      <protection hidden="1"/>
    </xf>
    <xf numFmtId="0" fontId="11" fillId="0" borderId="0" xfId="0" applyFont="1" applyAlignment="1" applyProtection="1">
      <alignment wrapText="1"/>
      <protection hidden="1"/>
    </xf>
    <xf numFmtId="0" fontId="3" fillId="6" borderId="0" xfId="40" applyFont="1" applyFill="1" applyProtection="1">
      <protection hidden="1"/>
    </xf>
    <xf numFmtId="0" fontId="47" fillId="0" borderId="0" xfId="39" applyFont="1" applyProtection="1">
      <protection hidden="1"/>
    </xf>
    <xf numFmtId="0" fontId="3" fillId="6" borderId="0" xfId="40" applyFont="1" applyFill="1" applyAlignment="1" applyProtection="1">
      <alignment horizontal="center"/>
      <protection hidden="1"/>
    </xf>
    <xf numFmtId="0" fontId="48" fillId="6" borderId="0" xfId="40" applyFont="1" applyFill="1" applyProtection="1">
      <protection hidden="1"/>
    </xf>
    <xf numFmtId="0" fontId="3" fillId="6" borderId="0" xfId="40" applyFont="1" applyFill="1" applyAlignment="1" applyProtection="1">
      <alignment horizontal="left"/>
      <protection hidden="1"/>
    </xf>
    <xf numFmtId="0" fontId="19" fillId="6" borderId="0" xfId="40" applyFont="1" applyFill="1" applyProtection="1">
      <protection hidden="1"/>
    </xf>
    <xf numFmtId="0" fontId="3" fillId="37" borderId="19" xfId="40" applyFont="1" applyFill="1" applyBorder="1" applyAlignment="1" applyProtection="1">
      <alignment horizontal="center"/>
      <protection locked="0" hidden="1"/>
    </xf>
    <xf numFmtId="0" fontId="3" fillId="0" borderId="0" xfId="40" applyFont="1" applyProtection="1">
      <protection hidden="1"/>
    </xf>
    <xf numFmtId="0" fontId="20" fillId="0" borderId="0" xfId="40" applyFont="1" applyAlignment="1" applyProtection="1">
      <alignment horizontal="left"/>
      <protection hidden="1"/>
    </xf>
    <xf numFmtId="0" fontId="5" fillId="0" borderId="0" xfId="40" applyFont="1" applyAlignment="1" applyProtection="1">
      <alignment horizontal="left"/>
      <protection hidden="1"/>
    </xf>
    <xf numFmtId="3" fontId="3" fillId="0" borderId="0" xfId="40" applyNumberFormat="1" applyFont="1" applyAlignment="1" applyProtection="1">
      <alignment vertical="center" wrapText="1"/>
      <protection hidden="1"/>
    </xf>
    <xf numFmtId="0" fontId="17" fillId="0" borderId="0" xfId="0" applyFont="1" applyAlignment="1" applyProtection="1">
      <alignment horizontal="left" wrapText="1"/>
      <protection hidden="1"/>
    </xf>
    <xf numFmtId="0" fontId="18" fillId="0" borderId="1" xfId="40" applyFont="1" applyBorder="1" applyAlignment="1" applyProtection="1">
      <alignment vertical="top" wrapText="1"/>
      <protection hidden="1"/>
    </xf>
    <xf numFmtId="0" fontId="11" fillId="0" borderId="0" xfId="40" applyFont="1" applyAlignment="1" applyProtection="1">
      <alignment vertical="top" wrapText="1"/>
      <protection hidden="1"/>
    </xf>
    <xf numFmtId="0" fontId="2" fillId="0" borderId="0" xfId="40" applyFont="1" applyAlignment="1" applyProtection="1">
      <alignment vertical="top" wrapText="1"/>
      <protection hidden="1"/>
    </xf>
    <xf numFmtId="0" fontId="2" fillId="0" borderId="0" xfId="40" applyFont="1" applyAlignment="1" applyProtection="1">
      <alignment horizontal="center" vertical="top" wrapText="1"/>
      <protection hidden="1"/>
    </xf>
    <xf numFmtId="0" fontId="17" fillId="0" borderId="0" xfId="40" applyFont="1" applyAlignment="1" applyProtection="1">
      <alignment vertical="top" wrapText="1"/>
      <protection hidden="1"/>
    </xf>
    <xf numFmtId="164" fontId="11" fillId="0" borderId="0" xfId="40" applyNumberFormat="1" applyFont="1" applyAlignment="1" applyProtection="1">
      <alignment vertical="top" wrapText="1"/>
      <protection hidden="1"/>
    </xf>
    <xf numFmtId="2" fontId="11" fillId="0" borderId="0" xfId="40" applyNumberFormat="1" applyFont="1" applyAlignment="1" applyProtection="1">
      <alignment vertical="top"/>
      <protection hidden="1"/>
    </xf>
    <xf numFmtId="2" fontId="49" fillId="0" borderId="0" xfId="40" applyNumberFormat="1" applyFont="1" applyAlignment="1" applyProtection="1">
      <alignment vertical="top"/>
      <protection hidden="1"/>
    </xf>
    <xf numFmtId="0" fontId="5" fillId="0" borderId="0" xfId="40" applyFont="1" applyAlignment="1" applyProtection="1">
      <alignment vertical="top"/>
      <protection hidden="1"/>
    </xf>
    <xf numFmtId="2" fontId="49" fillId="0" borderId="0" xfId="40" applyNumberFormat="1" applyFont="1" applyAlignment="1" applyProtection="1">
      <alignment vertical="top" wrapText="1"/>
      <protection hidden="1"/>
    </xf>
    <xf numFmtId="0" fontId="18" fillId="0" borderId="0" xfId="0" applyFont="1" applyAlignment="1" applyProtection="1">
      <alignment wrapText="1"/>
      <protection hidden="1"/>
    </xf>
    <xf numFmtId="0" fontId="5" fillId="0" borderId="0" xfId="34" applyFont="1" applyFill="1" applyBorder="1" applyAlignment="1" applyProtection="1">
      <alignment horizontal="left" vertical="top"/>
      <protection hidden="1"/>
    </xf>
    <xf numFmtId="0" fontId="13" fillId="6" borderId="0" xfId="40" applyFont="1" applyFill="1" applyProtection="1">
      <protection hidden="1"/>
    </xf>
    <xf numFmtId="0" fontId="12" fillId="6" borderId="0" xfId="40" applyFont="1" applyFill="1" applyProtection="1">
      <protection hidden="1"/>
    </xf>
    <xf numFmtId="0" fontId="36" fillId="0" borderId="0" xfId="39" applyProtection="1">
      <protection hidden="1"/>
    </xf>
    <xf numFmtId="0" fontId="12" fillId="6" borderId="6" xfId="40" applyFont="1" applyFill="1" applyBorder="1" applyAlignment="1" applyProtection="1">
      <alignment vertical="top"/>
      <protection hidden="1"/>
    </xf>
    <xf numFmtId="0" fontId="2" fillId="6" borderId="6" xfId="40" applyFont="1" applyFill="1" applyBorder="1" applyAlignment="1" applyProtection="1">
      <alignment horizontal="center" vertical="center" wrapText="1"/>
      <protection hidden="1"/>
    </xf>
    <xf numFmtId="0" fontId="2" fillId="6" borderId="0" xfId="40" applyFont="1" applyFill="1" applyAlignment="1" applyProtection="1">
      <alignment horizontal="center" vertical="top"/>
      <protection hidden="1"/>
    </xf>
    <xf numFmtId="0" fontId="2" fillId="6" borderId="0" xfId="40" applyFont="1" applyFill="1" applyAlignment="1" applyProtection="1">
      <alignment vertical="top"/>
      <protection hidden="1"/>
    </xf>
    <xf numFmtId="0" fontId="12" fillId="6" borderId="6" xfId="40" applyFont="1" applyFill="1" applyBorder="1" applyAlignment="1" applyProtection="1">
      <alignment horizontal="justify" vertical="top" wrapText="1"/>
      <protection hidden="1"/>
    </xf>
    <xf numFmtId="0" fontId="12" fillId="6" borderId="0" xfId="40" applyFont="1" applyFill="1" applyAlignment="1" applyProtection="1">
      <alignment horizontal="justify" vertical="top" wrapText="1"/>
      <protection hidden="1"/>
    </xf>
    <xf numFmtId="0" fontId="2" fillId="6" borderId="6" xfId="40" applyFont="1" applyFill="1" applyBorder="1" applyAlignment="1" applyProtection="1">
      <alignment horizontal="center" vertical="top" wrapText="1"/>
      <protection hidden="1"/>
    </xf>
    <xf numFmtId="0" fontId="2" fillId="6" borderId="0" xfId="40" applyFont="1" applyFill="1" applyAlignment="1" applyProtection="1">
      <alignment horizontal="center" vertical="top" wrapText="1"/>
      <protection hidden="1"/>
    </xf>
    <xf numFmtId="0" fontId="12" fillId="6" borderId="6" xfId="40" applyFont="1" applyFill="1" applyBorder="1" applyAlignment="1" applyProtection="1">
      <alignment vertical="top" wrapText="1"/>
      <protection hidden="1"/>
    </xf>
    <xf numFmtId="3" fontId="12" fillId="6" borderId="6" xfId="40" applyNumberFormat="1" applyFont="1" applyFill="1" applyBorder="1" applyAlignment="1" applyProtection="1">
      <alignment horizontal="center" vertical="top" wrapText="1"/>
      <protection hidden="1"/>
    </xf>
    <xf numFmtId="0" fontId="12" fillId="6" borderId="6" xfId="40" applyFont="1" applyFill="1" applyBorder="1" applyAlignment="1" applyProtection="1">
      <alignment horizontal="center" vertical="top" wrapText="1"/>
      <protection hidden="1"/>
    </xf>
    <xf numFmtId="0" fontId="5" fillId="6" borderId="0" xfId="40" applyFont="1" applyFill="1" applyAlignment="1" applyProtection="1">
      <alignment horizontal="center" vertical="top" wrapText="1"/>
      <protection hidden="1"/>
    </xf>
    <xf numFmtId="0" fontId="14" fillId="6" borderId="0" xfId="40" applyFont="1" applyFill="1" applyAlignment="1" applyProtection="1">
      <alignment horizontal="center" vertical="top" wrapText="1"/>
      <protection hidden="1"/>
    </xf>
    <xf numFmtId="0" fontId="47" fillId="0" borderId="6" xfId="0" applyFont="1" applyBorder="1" applyProtection="1">
      <protection hidden="1"/>
    </xf>
    <xf numFmtId="0" fontId="50" fillId="0" borderId="6" xfId="0" applyFont="1" applyBorder="1" applyAlignment="1" applyProtection="1">
      <alignment horizontal="center"/>
      <protection hidden="1"/>
    </xf>
    <xf numFmtId="0" fontId="0" fillId="0" borderId="6" xfId="0" applyBorder="1" applyProtection="1">
      <protection hidden="1"/>
    </xf>
    <xf numFmtId="0" fontId="0" fillId="7" borderId="0" xfId="0" applyFill="1" applyProtection="1">
      <protection hidden="1"/>
    </xf>
    <xf numFmtId="0" fontId="17" fillId="7" borderId="0" xfId="0" applyFont="1" applyFill="1" applyAlignment="1" applyProtection="1">
      <alignment wrapText="1"/>
      <protection hidden="1"/>
    </xf>
    <xf numFmtId="0" fontId="1" fillId="5" borderId="6" xfId="0" applyFont="1" applyFill="1" applyBorder="1" applyAlignment="1" applyProtection="1">
      <alignment horizontal="left" vertical="center" wrapText="1"/>
      <protection hidden="1"/>
    </xf>
    <xf numFmtId="0" fontId="0" fillId="38" borderId="6" xfId="0" applyFill="1" applyBorder="1" applyProtection="1">
      <protection hidden="1"/>
    </xf>
    <xf numFmtId="4" fontId="1" fillId="3" borderId="6" xfId="0" applyNumberFormat="1" applyFont="1" applyFill="1" applyBorder="1" applyAlignment="1" applyProtection="1">
      <alignment horizontal="right" vertical="center"/>
      <protection hidden="1"/>
    </xf>
    <xf numFmtId="4" fontId="1" fillId="3" borderId="0" xfId="0" applyNumberFormat="1" applyFont="1" applyFill="1" applyAlignment="1" applyProtection="1">
      <alignment horizontal="right" vertical="center"/>
      <protection hidden="1"/>
    </xf>
    <xf numFmtId="2" fontId="1" fillId="3" borderId="6" xfId="0" applyNumberFormat="1" applyFont="1" applyFill="1" applyBorder="1" applyAlignment="1" applyProtection="1">
      <alignment horizontal="right" vertical="center"/>
      <protection hidden="1"/>
    </xf>
    <xf numFmtId="10" fontId="12" fillId="6" borderId="6" xfId="40" applyNumberFormat="1" applyFont="1" applyFill="1" applyBorder="1" applyAlignment="1" applyProtection="1">
      <alignment horizontal="center" vertical="top" wrapText="1"/>
      <protection hidden="1"/>
    </xf>
    <xf numFmtId="10" fontId="1" fillId="3" borderId="6" xfId="0" applyNumberFormat="1" applyFont="1" applyFill="1" applyBorder="1" applyAlignment="1" applyProtection="1">
      <alignment horizontal="right" vertical="center"/>
      <protection hidden="1"/>
    </xf>
    <xf numFmtId="10" fontId="1" fillId="3" borderId="0" xfId="0" applyNumberFormat="1" applyFont="1" applyFill="1" applyAlignment="1" applyProtection="1">
      <alignment horizontal="right" vertical="center"/>
      <protection hidden="1"/>
    </xf>
    <xf numFmtId="10" fontId="50" fillId="0" borderId="6" xfId="0" applyNumberFormat="1" applyFont="1" applyBorder="1" applyAlignment="1" applyProtection="1">
      <alignment horizontal="center"/>
      <protection hidden="1"/>
    </xf>
    <xf numFmtId="0" fontId="1" fillId="0" borderId="0" xfId="0" applyFont="1" applyAlignment="1" applyProtection="1">
      <alignment horizontal="left" vertical="center" wrapText="1"/>
      <protection hidden="1"/>
    </xf>
    <xf numFmtId="2" fontId="1" fillId="0" borderId="0" xfId="0" applyNumberFormat="1" applyFont="1" applyAlignment="1" applyProtection="1">
      <alignment horizontal="right" vertical="center"/>
      <protection hidden="1"/>
    </xf>
    <xf numFmtId="2" fontId="0" fillId="0" borderId="0" xfId="0" applyNumberFormat="1" applyProtection="1">
      <protection hidden="1"/>
    </xf>
    <xf numFmtId="4" fontId="0" fillId="0" borderId="0" xfId="0" applyNumberFormat="1" applyProtection="1">
      <protection hidden="1"/>
    </xf>
    <xf numFmtId="0" fontId="1" fillId="5" borderId="0" xfId="0" applyFont="1" applyFill="1" applyAlignment="1" applyProtection="1">
      <alignment horizontal="left" vertical="center" wrapText="1"/>
      <protection hidden="1"/>
    </xf>
    <xf numFmtId="0" fontId="39" fillId="0" borderId="0" xfId="0" applyFont="1" applyProtection="1">
      <protection hidden="1"/>
    </xf>
    <xf numFmtId="3" fontId="12" fillId="6" borderId="6" xfId="40" applyNumberFormat="1" applyFont="1" applyFill="1" applyBorder="1" applyAlignment="1" applyProtection="1">
      <alignment horizontal="left" vertical="top" wrapText="1"/>
      <protection hidden="1"/>
    </xf>
    <xf numFmtId="3" fontId="32" fillId="6" borderId="6" xfId="34" applyNumberFormat="1" applyFill="1" applyBorder="1" applyAlignment="1" applyProtection="1">
      <alignment horizontal="left" vertical="top" wrapText="1"/>
      <protection hidden="1"/>
    </xf>
    <xf numFmtId="0" fontId="45" fillId="0" borderId="0" xfId="34" applyFont="1" applyFill="1" applyBorder="1" applyAlignment="1" applyProtection="1">
      <alignment horizontal="left" vertical="top"/>
      <protection locked="0" hidden="1"/>
    </xf>
    <xf numFmtId="0" fontId="51" fillId="0" borderId="0" xfId="40" applyFont="1" applyAlignment="1" applyProtection="1">
      <alignment vertical="top"/>
      <protection locked="0" hidden="1"/>
    </xf>
    <xf numFmtId="3" fontId="2" fillId="6" borderId="6" xfId="40" applyNumberFormat="1" applyFont="1" applyFill="1" applyBorder="1" applyAlignment="1" applyProtection="1">
      <alignment horizontal="center" vertical="top" wrapText="1"/>
      <protection hidden="1"/>
    </xf>
    <xf numFmtId="10" fontId="17" fillId="0" borderId="6" xfId="0" applyNumberFormat="1" applyFont="1" applyBorder="1" applyAlignment="1" applyProtection="1">
      <alignment horizontal="left" wrapText="1"/>
      <protection hidden="1"/>
    </xf>
    <xf numFmtId="3" fontId="2" fillId="0" borderId="0" xfId="40" applyNumberFormat="1" applyFont="1" applyAlignment="1" applyProtection="1">
      <alignment horizontal="center" vertical="top" wrapText="1"/>
      <protection hidden="1"/>
    </xf>
    <xf numFmtId="4" fontId="1" fillId="3" borderId="2" xfId="0" applyNumberFormat="1" applyFont="1" applyFill="1" applyBorder="1" applyAlignment="1" applyProtection="1">
      <alignment horizontal="right" vertical="center"/>
      <protection hidden="1"/>
    </xf>
    <xf numFmtId="0" fontId="2" fillId="0" borderId="0" xfId="40" applyFont="1" applyAlignment="1" applyProtection="1">
      <alignment horizontal="center" vertical="center" wrapText="1"/>
      <protection hidden="1"/>
    </xf>
    <xf numFmtId="3" fontId="12" fillId="0" borderId="0" xfId="40" applyNumberFormat="1" applyFont="1" applyAlignment="1" applyProtection="1">
      <alignment horizontal="center" vertical="top" wrapText="1"/>
      <protection hidden="1"/>
    </xf>
    <xf numFmtId="0" fontId="12" fillId="0" borderId="0" xfId="40" applyFont="1" applyAlignment="1" applyProtection="1">
      <alignment horizontal="center" vertical="top" wrapText="1"/>
      <protection hidden="1"/>
    </xf>
    <xf numFmtId="10" fontId="12" fillId="0" borderId="0" xfId="40" applyNumberFormat="1" applyFont="1" applyAlignment="1" applyProtection="1">
      <alignment horizontal="center" vertical="top" wrapText="1"/>
      <protection hidden="1"/>
    </xf>
    <xf numFmtId="10" fontId="17" fillId="0" borderId="0" xfId="0" applyNumberFormat="1" applyFont="1" applyAlignment="1" applyProtection="1">
      <alignment horizontal="left" wrapText="1"/>
      <protection hidden="1"/>
    </xf>
    <xf numFmtId="0" fontId="50" fillId="0" borderId="0" xfId="0" applyFont="1" applyAlignment="1" applyProtection="1">
      <alignment horizontal="center"/>
      <protection hidden="1"/>
    </xf>
    <xf numFmtId="10" fontId="50" fillId="0" borderId="0" xfId="0" applyNumberFormat="1" applyFont="1" applyAlignment="1" applyProtection="1">
      <alignment horizontal="center"/>
      <protection hidden="1"/>
    </xf>
    <xf numFmtId="3" fontId="0" fillId="0" borderId="0" xfId="0" applyNumberFormat="1"/>
    <xf numFmtId="0" fontId="17" fillId="0" borderId="0" xfId="0" applyFont="1" applyProtection="1">
      <protection hidden="1"/>
    </xf>
    <xf numFmtId="3" fontId="12" fillId="6" borderId="7" xfId="40" applyNumberFormat="1" applyFont="1" applyFill="1" applyBorder="1" applyAlignment="1" applyProtection="1">
      <alignment horizontal="center" vertical="top" wrapText="1"/>
      <protection hidden="1"/>
    </xf>
    <xf numFmtId="3" fontId="12" fillId="6" borderId="0" xfId="40" applyNumberFormat="1" applyFont="1" applyFill="1" applyAlignment="1" applyProtection="1">
      <alignment horizontal="center" vertical="top" wrapText="1"/>
      <protection hidden="1"/>
    </xf>
    <xf numFmtId="3" fontId="3" fillId="0" borderId="0" xfId="40" applyNumberFormat="1" applyFont="1" applyAlignment="1" applyProtection="1">
      <alignment horizontal="center" vertical="center" wrapText="1"/>
      <protection hidden="1"/>
    </xf>
    <xf numFmtId="0" fontId="3" fillId="0" borderId="0" xfId="40" applyFont="1" applyAlignment="1" applyProtection="1">
      <alignment horizontal="right" vertical="top"/>
      <protection hidden="1"/>
    </xf>
    <xf numFmtId="0" fontId="3" fillId="0" borderId="0" xfId="40" applyFont="1" applyAlignment="1" applyProtection="1">
      <alignment horizontal="center"/>
      <protection hidden="1"/>
    </xf>
    <xf numFmtId="0" fontId="55" fillId="0" borderId="0" xfId="34" applyFont="1" applyFill="1" applyBorder="1" applyAlignment="1" applyProtection="1">
      <alignment horizontal="left" vertical="top"/>
      <protection hidden="1"/>
    </xf>
    <xf numFmtId="39" fontId="3" fillId="0" borderId="0" xfId="40" applyNumberFormat="1" applyFont="1" applyAlignment="1" applyProtection="1">
      <alignment horizontal="center" vertical="center" wrapText="1"/>
      <protection hidden="1"/>
    </xf>
    <xf numFmtId="0" fontId="56" fillId="6" borderId="0" xfId="40" applyFont="1" applyFill="1" applyProtection="1">
      <protection hidden="1"/>
    </xf>
    <xf numFmtId="0" fontId="5" fillId="6" borderId="0" xfId="40" applyFont="1" applyFill="1" applyProtection="1">
      <protection hidden="1"/>
    </xf>
    <xf numFmtId="3" fontId="0" fillId="0" borderId="0" xfId="0" applyNumberFormat="1" applyProtection="1">
      <protection hidden="1"/>
    </xf>
    <xf numFmtId="0" fontId="5" fillId="6" borderId="2" xfId="40" applyFont="1" applyFill="1" applyBorder="1" applyProtection="1">
      <protection hidden="1"/>
    </xf>
    <xf numFmtId="0" fontId="5" fillId="6" borderId="3" xfId="40" applyFont="1" applyFill="1" applyBorder="1" applyProtection="1">
      <protection hidden="1"/>
    </xf>
    <xf numFmtId="0" fontId="5" fillId="6" borderId="4" xfId="40" applyFont="1" applyFill="1" applyBorder="1" applyProtection="1">
      <protection hidden="1"/>
    </xf>
    <xf numFmtId="9" fontId="5" fillId="6" borderId="2" xfId="40" applyNumberFormat="1" applyFont="1" applyFill="1" applyBorder="1" applyAlignment="1" applyProtection="1">
      <alignment vertical="center"/>
      <protection hidden="1"/>
    </xf>
    <xf numFmtId="0" fontId="5" fillId="6" borderId="3" xfId="40" applyFont="1" applyFill="1" applyBorder="1" applyAlignment="1" applyProtection="1">
      <alignment vertical="center"/>
      <protection hidden="1"/>
    </xf>
    <xf numFmtId="9" fontId="5" fillId="6" borderId="2" xfId="40" applyNumberFormat="1" applyFont="1" applyFill="1" applyBorder="1" applyAlignment="1" applyProtection="1">
      <alignment horizontal="left"/>
      <protection hidden="1"/>
    </xf>
    <xf numFmtId="9" fontId="5" fillId="6" borderId="5" xfId="40" applyNumberFormat="1" applyFont="1" applyFill="1" applyBorder="1" applyAlignment="1" applyProtection="1">
      <alignment horizontal="left"/>
      <protection hidden="1"/>
    </xf>
    <xf numFmtId="9" fontId="5" fillId="6" borderId="3" xfId="40" applyNumberFormat="1" applyFont="1" applyFill="1" applyBorder="1" applyAlignment="1" applyProtection="1">
      <alignment horizontal="left"/>
      <protection hidden="1"/>
    </xf>
    <xf numFmtId="0" fontId="3" fillId="0" borderId="0" xfId="40" applyFont="1" applyAlignment="1" applyProtection="1">
      <alignment vertical="center"/>
      <protection hidden="1"/>
    </xf>
    <xf numFmtId="0" fontId="20" fillId="0" borderId="0" xfId="40" applyFont="1" applyAlignment="1" applyProtection="1">
      <alignment horizontal="left" vertical="center"/>
      <protection hidden="1"/>
    </xf>
    <xf numFmtId="3" fontId="5" fillId="37" borderId="20" xfId="40" applyNumberFormat="1" applyFont="1" applyFill="1" applyBorder="1" applyAlignment="1" applyProtection="1">
      <alignment horizontal="center" vertical="center" wrapText="1"/>
      <protection locked="0" hidden="1"/>
    </xf>
    <xf numFmtId="3" fontId="5" fillId="37" borderId="21" xfId="40" applyNumberFormat="1" applyFont="1" applyFill="1" applyBorder="1" applyAlignment="1" applyProtection="1">
      <alignment horizontal="center" vertical="center" wrapText="1"/>
      <protection locked="0" hidden="1"/>
    </xf>
    <xf numFmtId="0" fontId="52" fillId="39" borderId="0" xfId="40" applyFont="1" applyFill="1" applyAlignment="1" applyProtection="1">
      <alignment horizontal="center" vertical="center"/>
      <protection hidden="1"/>
    </xf>
    <xf numFmtId="0" fontId="54" fillId="40" borderId="0" xfId="40" applyFont="1" applyFill="1" applyAlignment="1" applyProtection="1">
      <alignment horizontal="center" vertical="center"/>
      <protection hidden="1"/>
    </xf>
    <xf numFmtId="3" fontId="3" fillId="0" borderId="0" xfId="40" applyNumberFormat="1" applyFont="1" applyAlignment="1" applyProtection="1">
      <alignment horizontal="center" vertical="top" wrapText="1"/>
      <protection hidden="1"/>
    </xf>
    <xf numFmtId="0" fontId="6" fillId="0" borderId="0" xfId="40" applyFont="1" applyAlignment="1" applyProtection="1">
      <alignment horizontal="center" vertical="center" wrapText="1"/>
      <protection hidden="1"/>
    </xf>
    <xf numFmtId="0" fontId="6" fillId="0" borderId="0" xfId="40" applyFont="1" applyAlignment="1" applyProtection="1">
      <alignment horizontal="center" vertical="center"/>
      <protection hidden="1"/>
    </xf>
    <xf numFmtId="0" fontId="3" fillId="0" borderId="0" xfId="40" applyFont="1" applyAlignment="1" applyProtection="1">
      <alignment horizontal="center" vertical="top" wrapText="1"/>
      <protection hidden="1"/>
    </xf>
    <xf numFmtId="164" fontId="11" fillId="0" borderId="0" xfId="40" applyNumberFormat="1" applyFont="1" applyAlignment="1" applyProtection="1">
      <alignment horizontal="center" vertical="top" wrapText="1"/>
      <protection hidden="1"/>
    </xf>
    <xf numFmtId="3" fontId="3" fillId="0" borderId="0" xfId="40" applyNumberFormat="1" applyFont="1" applyAlignment="1" applyProtection="1">
      <alignment horizontal="center" vertical="center" wrapText="1"/>
      <protection hidden="1"/>
    </xf>
    <xf numFmtId="0" fontId="11" fillId="0" borderId="0" xfId="40" applyFont="1" applyAlignment="1" applyProtection="1">
      <alignment horizontal="center" vertical="top" wrapText="1"/>
      <protection hidden="1"/>
    </xf>
    <xf numFmtId="0" fontId="3" fillId="0" borderId="0" xfId="40" applyFont="1" applyAlignment="1" applyProtection="1">
      <alignment horizontal="right" vertical="top"/>
      <protection hidden="1"/>
    </xf>
    <xf numFmtId="0" fontId="11" fillId="0" borderId="0" xfId="40" applyFont="1" applyAlignment="1" applyProtection="1">
      <alignment horizontal="left" vertical="top" wrapText="1"/>
      <protection hidden="1"/>
    </xf>
    <xf numFmtId="3" fontId="3" fillId="6" borderId="0" xfId="40" applyNumberFormat="1" applyFont="1" applyFill="1" applyAlignment="1" applyProtection="1">
      <alignment horizontal="center" vertical="center" wrapText="1"/>
      <protection hidden="1"/>
    </xf>
    <xf numFmtId="0" fontId="55" fillId="0" borderId="0" xfId="34" applyFont="1" applyFill="1" applyBorder="1" applyAlignment="1" applyProtection="1">
      <alignment horizontal="left" vertical="center"/>
      <protection hidden="1"/>
    </xf>
    <xf numFmtId="0" fontId="55" fillId="0" borderId="0" xfId="34" applyFont="1" applyFill="1" applyBorder="1" applyAlignment="1" applyProtection="1">
      <alignment horizontal="left" vertical="top"/>
      <protection hidden="1"/>
    </xf>
    <xf numFmtId="0" fontId="3" fillId="0" borderId="0" xfId="40" applyFont="1" applyAlignment="1" applyProtection="1">
      <alignment horizontal="right" vertical="center"/>
      <protection hidden="1"/>
    </xf>
    <xf numFmtId="4" fontId="3" fillId="0" borderId="0" xfId="40" applyNumberFormat="1" applyFont="1" applyAlignment="1" applyProtection="1">
      <alignment horizontal="center" vertical="center" wrapText="1"/>
      <protection hidden="1"/>
    </xf>
    <xf numFmtId="4" fontId="3" fillId="0" borderId="8" xfId="40" applyNumberFormat="1" applyFont="1" applyBorder="1" applyAlignment="1" applyProtection="1">
      <alignment horizontal="center" vertical="center" wrapText="1"/>
      <protection hidden="1"/>
    </xf>
    <xf numFmtId="4" fontId="3" fillId="0" borderId="9" xfId="40" applyNumberFormat="1" applyFont="1" applyBorder="1" applyAlignment="1" applyProtection="1">
      <alignment horizontal="center" vertical="center" wrapText="1"/>
      <protection hidden="1"/>
    </xf>
    <xf numFmtId="37" fontId="5" fillId="37" borderId="20" xfId="40" applyNumberFormat="1" applyFont="1" applyFill="1" applyBorder="1" applyAlignment="1" applyProtection="1">
      <alignment horizontal="center" vertical="center" wrapText="1"/>
      <protection locked="0" hidden="1"/>
    </xf>
    <xf numFmtId="37" fontId="5" fillId="37" borderId="21" xfId="40" applyNumberFormat="1" applyFont="1" applyFill="1" applyBorder="1" applyAlignment="1" applyProtection="1">
      <alignment horizontal="center" vertical="center" wrapText="1"/>
      <protection locked="0" hidden="1"/>
    </xf>
    <xf numFmtId="39" fontId="3" fillId="0" borderId="0" xfId="40" applyNumberFormat="1" applyFont="1" applyAlignment="1" applyProtection="1">
      <alignment horizontal="center" vertical="center" wrapText="1"/>
      <protection hidden="1"/>
    </xf>
    <xf numFmtId="9" fontId="53" fillId="6" borderId="0" xfId="40" applyNumberFormat="1" applyFont="1" applyFill="1" applyAlignment="1" applyProtection="1">
      <alignment horizontal="center"/>
      <protection locked="0" hidden="1"/>
    </xf>
    <xf numFmtId="0" fontId="55" fillId="0" borderId="3" xfId="34" applyFont="1" applyFill="1" applyBorder="1" applyAlignment="1" applyProtection="1">
      <alignment horizontal="left" vertical="center"/>
      <protection hidden="1"/>
    </xf>
    <xf numFmtId="0" fontId="54" fillId="39" borderId="0" xfId="40" applyFont="1" applyFill="1" applyAlignment="1" applyProtection="1">
      <alignment horizontal="left" vertical="center"/>
      <protection hidden="1"/>
    </xf>
    <xf numFmtId="0" fontId="5" fillId="6" borderId="2" xfId="40" applyFont="1" applyFill="1" applyBorder="1" applyAlignment="1" applyProtection="1">
      <alignment horizontal="left" wrapText="1"/>
      <protection hidden="1"/>
    </xf>
    <xf numFmtId="0" fontId="5" fillId="6" borderId="3" xfId="40" applyFont="1" applyFill="1" applyBorder="1" applyAlignment="1" applyProtection="1">
      <alignment horizontal="left" wrapText="1"/>
      <protection hidden="1"/>
    </xf>
    <xf numFmtId="0" fontId="5" fillId="6" borderId="4" xfId="40" applyFont="1" applyFill="1" applyBorder="1" applyAlignment="1" applyProtection="1">
      <alignment horizontal="left" wrapText="1"/>
      <protection hidden="1"/>
    </xf>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Hyperlink 2" xfId="35" xr:uid="{60FAA1C2-8F96-4A4B-986B-A98507E6416E}"/>
    <cellStyle name="Input" xfId="36" builtinId="20" customBuiltin="1"/>
    <cellStyle name="Linked Cell" xfId="37" builtinId="24" customBuiltin="1"/>
    <cellStyle name="Neutral" xfId="38" builtinId="28" customBuiltin="1"/>
    <cellStyle name="Normal" xfId="0" builtinId="0"/>
    <cellStyle name="Normal 2" xfId="39" xr:uid="{3382357E-9055-4FDD-A316-CD46E3ED845B}"/>
    <cellStyle name="Normal 2 2" xfId="40" xr:uid="{608AF444-59E0-4E37-AC28-F85E01B68C22}"/>
    <cellStyle name="Note" xfId="41" builtinId="10" customBuiltin="1"/>
    <cellStyle name="Output" xfId="42" builtinId="21" customBuiltin="1"/>
    <cellStyle name="Title" xfId="43" builtinId="15" customBuiltin="1"/>
    <cellStyle name="Total" xfId="44" builtinId="25" customBuiltin="1"/>
    <cellStyle name="Warning Text" xfId="45" builtinId="11" customBuiltin="1"/>
  </cellStyles>
  <dxfs count="3">
    <dxf>
      <font>
        <condense val="0"/>
        <extend val="0"/>
        <color indexed="10"/>
      </font>
    </dxf>
    <dxf>
      <font>
        <condense val="0"/>
        <extend val="0"/>
        <color indexed="43"/>
      </font>
    </dxf>
    <dxf>
      <font>
        <condense val="0"/>
        <extend val="0"/>
        <color indexed="4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ustomXml" Target="../customXml/item2.xml" />
  <Relationship Id="rId3" Type="http://schemas.openxmlformats.org/officeDocument/2006/relationships/theme" Target="theme/theme1.xml" />
  <Relationship Id="rId7" Type="http://schemas.openxmlformats.org/officeDocument/2006/relationships/customXml" Target="../customXml/item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10" Type="http://schemas.openxmlformats.org/officeDocument/2006/relationships/customXml" Target="../customXml/item4.xml" />
  <Relationship Id="rId4" Type="http://schemas.openxmlformats.org/officeDocument/2006/relationships/styles" Target="styles.xml" />
  <Relationship Id="rId9" Type="http://schemas.openxmlformats.org/officeDocument/2006/relationships/customXml" Target="../customXml/item3.xml" />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3" Type="http://schemas.openxmlformats.org/officeDocument/2006/relationships/hyperlink" Target="https://www.iras.gov.sg/IRASHome/Individuals/Locals/Working-Out-Your-Taxes/Deductions-for-Individuals/Life-Insurance-Relief/" TargetMode="External" />
  <Relationship Id="rId18" Type="http://schemas.openxmlformats.org/officeDocument/2006/relationships/hyperlink" Target="https://www.iras.gov.sg/taxes/individual-income-tax/basics-of-individual-income-tax/what-is-taxable-what-is-not/employment-income/salary-bonus-director's-fee-commission-and-others" TargetMode="External" />
  <Relationship Id="rId26" Type="http://schemas.openxmlformats.org/officeDocument/2006/relationships/hyperlink" Target="https://www.iras.gov.sg/taxes/individual-income-tax/basics-of-individual-income-tax/tax-reliefs-rebates-and-deductions/employment-expenses" TargetMode="External" />
  <Relationship Id="rId21" Type="http://schemas.openxmlformats.org/officeDocument/2006/relationships/hyperlink" Target="https://www.iras.gov.sg/IRASHome/Individuals/Locals/Working-Out-Your-Taxes/Deductions-for-Individuals/Spouse-Relief/-Handicapped-Spouse-Relief/" TargetMode="External" />
  <Relationship Id="rId34" Type="http://schemas.openxmlformats.org/officeDocument/2006/relationships/hyperlink" Target="https://www.iras.gov.sg/taxes/individual-income-tax/basics-of-individual-income-tax/tax-reliefs-rebates-and-deductions/tax-reliefs/central-provident-fund(cpf)-relief-for-employees" TargetMode="External" />
  <Relationship Id="rId7" Type="http://schemas.openxmlformats.org/officeDocument/2006/relationships/hyperlink" Target="http://www.iras.gov.sg/irasHome/page04.aspx?id=7622" TargetMode="External" />
  <Relationship Id="rId12" Type="http://schemas.openxmlformats.org/officeDocument/2006/relationships/hyperlink" Target="https://www.iras.gov.sg/IRASHome/Individuals/Locals/Working-Out-Your-Taxes/Deductions-for-Individuals/Earned-Income-Relief/" TargetMode="External" />
  <Relationship Id="rId17" Type="http://schemas.openxmlformats.org/officeDocument/2006/relationships/hyperlink" Target="https://www.iras.gov.sg/taxes/individual-income-tax/basics-of-individual-income-tax/what-is-taxable-what-is-not/employment-income/salary-bonus-director's-fee-commission-and-others" TargetMode="External" />
  <Relationship Id="rId25" Type="http://schemas.openxmlformats.org/officeDocument/2006/relationships/hyperlink" Target="https://www.iras.gov.sg/taxes/individual-income-tax/basics-of-individual-income-tax/tax-residency-and-tax-rates/individual-income-tax-rates" TargetMode="External" />
  <Relationship Id="rId33" Type="http://schemas.openxmlformats.org/officeDocument/2006/relationships/hyperlink" Target="https://www.iras.gov.sg/taxes/individual-income-tax/basics-of-individual-income-tax/tax-reliefs-rebates-and-deductions/tax-reliefs/working-mother's-child-relief-(wmcr)" TargetMode="External" />
  <Relationship Id="rId38" Type="http://schemas.openxmlformats.org/officeDocument/2006/relationships/comments" Target="../comments1.xml" />
  <Relationship Id="rId2" Type="http://schemas.openxmlformats.org/officeDocument/2006/relationships/hyperlink" Target="https://www.iras.gov.sg/IRASHome/Individuals/Locals/Working-Out-Your-Taxes/Deductions-for-Individuals/Donations/" TargetMode="External" />
  <Relationship Id="rId16" Type="http://schemas.openxmlformats.org/officeDocument/2006/relationships/hyperlink" Target="https://www.iras.gov.sg/irashome/Individuals/Foreigners/Working-out-your-taxes/Tax-Rates-for-Resident-and-Non-Residents/" TargetMode="External" />
  <Relationship Id="rId20" Type="http://schemas.openxmlformats.org/officeDocument/2006/relationships/hyperlink" Target="https://www.iras.gov.sg/taxes/individual-income-tax/basics-of-individual-income-tax/what-is-taxable-what-is-not/employment-income/salary-bonus-director's-fee-commission-and-others" TargetMode="External" />
  <Relationship Id="rId29" Type="http://schemas.openxmlformats.org/officeDocument/2006/relationships/hyperlink" Target="https://www.iras.gov.sg/taxes/individual-income-tax/basics-of-individual-income-tax/tax-residency-and-tax-rates/individual-income-tax-rates" TargetMode="External" />
  <Relationship Id="rId1" Type="http://schemas.openxmlformats.org/officeDocument/2006/relationships/hyperlink" Target="https://www.iras.gov.sg/IRASHome/Individuals/Foreigners/Working-out-your-taxes/Deductions-for-Individuals/Deductions-on-Employment-Expenses/" TargetMode="External" />
  <Relationship Id="rId6" Type="http://schemas.openxmlformats.org/officeDocument/2006/relationships/hyperlink" Target="https://www.iras.gov.sg/irashome/Individuals/Foreigners/Working-out-your-taxes/Tax-Rates-for-Resident-and-Non-Residents/" TargetMode="External" />
  <Relationship Id="rId11" Type="http://schemas.openxmlformats.org/officeDocument/2006/relationships/hyperlink" Target="https://www.iras.gov.sg/taxes/individual-income-tax/basics-of-individual-income-tax/what-is-taxable-what-is-not/royalty" TargetMode="External" />
  <Relationship Id="rId24" Type="http://schemas.openxmlformats.org/officeDocument/2006/relationships/hyperlink" Target="https://www.iras.gov.sg/taxes/individual-income-tax/basics-of-individual-income-tax/what-is-taxable-what-is-not/estate-trust-income" TargetMode="External" />
  <Relationship Id="rId32" Type="http://schemas.openxmlformats.org/officeDocument/2006/relationships/hyperlink" Target="https://www.iras.gov.sg/taxes/individual-income-tax/basics-of-individual-income-tax/tax-reliefs-rebates-and-deductions/tax-reliefs/qualifying-child-relief-(qcr)-child-relief-(disability)" TargetMode="External" />
  <Relationship Id="rId37" Type="http://schemas.openxmlformats.org/officeDocument/2006/relationships/vmlDrawing" Target="../drawings/vmlDrawing1.vml" />
  <Relationship Id="rId5" Type="http://schemas.openxmlformats.org/officeDocument/2006/relationships/hyperlink" Target="https://www.iras.gov.sg/irashome/Individuals/Foreigners/Working-out-your-taxes/Deductions-for-Individuals--Foreigners---Expenses--Donations--Reliefs--Rebates-/" TargetMode="External" />
  <Relationship Id="rId15" Type="http://schemas.openxmlformats.org/officeDocument/2006/relationships/hyperlink" Target="http://iras.gov.sg/irasHome/page04.aspx?id=282" TargetMode="External" />
  <Relationship Id="rId23" Type="http://schemas.openxmlformats.org/officeDocument/2006/relationships/hyperlink" Target="https://www.iras.gov.sg/taxes/individual-income-tax/basics-of-individual-income-tax/what-is-taxable-what-is-not/charge-(alimony-and-maintenance-payments)" TargetMode="External" />
  <Relationship Id="rId28" Type="http://schemas.openxmlformats.org/officeDocument/2006/relationships/hyperlink" Target="https://www.iras.gov.sg/taxes/other-taxes/charities/donations-tax-deductions" TargetMode="External" />
  <Relationship Id="rId10" Type="http://schemas.openxmlformats.org/officeDocument/2006/relationships/hyperlink" Target="https://www.iras.gov.sg/IRASHome/Individuals/Foreigners/Working-Out-Your-Taxes/What-is-Taxable-What-is-Not/Rental-Income-and-Expenses/" TargetMode="External" />
  <Relationship Id="rId19" Type="http://schemas.openxmlformats.org/officeDocument/2006/relationships/hyperlink" Target="https://www.iras.gov.sg/taxes/individual-income-tax/basics-of-individual-income-tax/what-is-taxable-what-is-not/employment-income/salary-bonus-director's-fee-commission-and-others" TargetMode="External" />
  <Relationship Id="rId31" Type="http://schemas.openxmlformats.org/officeDocument/2006/relationships/hyperlink" Target="https://www.iras.gov.sg/taxes/individual-income-tax/basics-of-individual-income-tax/tax-reliefs-rebates-and-deductions/tax-reliefs/spouse-relief-spouse-relief-(disability)" TargetMode="External" />
  <Relationship Id="rId4" Type="http://schemas.openxmlformats.org/officeDocument/2006/relationships/hyperlink" Target="https://www.iras.gov.sg/irashome/Individuals/Foreigners/Working-out-your-taxes/Deductions-for-Individuals--Foreigners---Expenses--Donations--Reliefs--Rebates-/" TargetMode="External" />
  <Relationship Id="rId9" Type="http://schemas.openxmlformats.org/officeDocument/2006/relationships/hyperlink" Target="https://www.iras.gov.sg/taxes/individual-income-tax/basics-of-individual-income-tax/what-is-taxable-what-is-not/interest" TargetMode="External" />
  <Relationship Id="rId14" Type="http://schemas.openxmlformats.org/officeDocument/2006/relationships/hyperlink" Target="https://www.iras.gov.sg/IRASHome/Individuals/Locals/Working-Out-Your-Taxes/Deductions-for-Individuals/Qualifying-Child-Relief--QCR--/-Handicapped-Child-Relief--HCR-/" TargetMode="External" />
  <Relationship Id="rId22" Type="http://schemas.openxmlformats.org/officeDocument/2006/relationships/hyperlink" Target="https://www.iras.gov.sg/IRASHome/Individuals/Locals/Working-Out-Your-Taxes/Deductions-for-Individuals/Working-Mother-s-Child-Relief--WMCR-/" TargetMode="External" />
  <Relationship Id="rId27" Type="http://schemas.openxmlformats.org/officeDocument/2006/relationships/hyperlink" Target="https://www.iras.gov.sg/taxes/individual-income-tax/basics-of-individual-income-tax/what-is-taxable-what-is-not/income-from-property-rented-out" TargetMode="External" />
  <Relationship Id="rId30" Type="http://schemas.openxmlformats.org/officeDocument/2006/relationships/hyperlink" Target="https://www.iras.gov.sg/taxes/individual-income-tax/basics-of-individual-income-tax/tax-reliefs-rebates-and-deductions/tax-reliefs/earned-income-relief" TargetMode="External" />
  <Relationship Id="rId35" Type="http://schemas.openxmlformats.org/officeDocument/2006/relationships/hyperlink" Target="https://www.iras.gov.sg/taxes/individual-income-tax/basics-of-individual-income-tax/tax-reliefs-rebates-and-deductions/tax-reliefs/life-insurance-relief" TargetMode="External" />
  <Relationship Id="rId8" Type="http://schemas.openxmlformats.org/officeDocument/2006/relationships/hyperlink" Target="https://www.iras.gov.sg/taxes/individual-income-tax/basics-of-individual-income-tax/what-is-taxable-what-is-not/employment-income/pension" TargetMode="External" />
  <Relationship Id="rId3" Type="http://schemas.openxmlformats.org/officeDocument/2006/relationships/hyperlink" Target="https://www.iras.gov.sg/IRASHome/Individuals/Locals/Working-Out-Your-Taxes/Deductions-for-Individuals/CPF--Central-Provident-Fund--Relief-for-Employees/" TargetMode="Externa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7E978-D584-450B-AFA7-68EFE6F462A0}">
  <sheetPr codeName="Sheet1"/>
  <dimension ref="A2:W139"/>
  <sheetViews>
    <sheetView showGridLines="0" tabSelected="1" topLeftCell="A45" zoomScaleNormal="100" zoomScaleSheetLayoutView="80" workbookViewId="0">
      <selection activeCell="B4" sqref="B4:M4"/>
    </sheetView>
  </sheetViews>
  <sheetFormatPr defaultColWidth="9.109375" defaultRowHeight="13.2"/>
  <cols>
    <col min="1" max="1" width="15.33203125" style="2" customWidth="1"/>
    <col min="2" max="2" width="12" style="2" customWidth="1"/>
    <col min="3" max="3" width="7.77734375" style="2" customWidth="1"/>
    <col min="4" max="4" width="7.5546875" style="2" customWidth="1"/>
    <col min="5" max="5" width="4.33203125" style="2" customWidth="1"/>
    <col min="6" max="6" width="16.5546875" style="2" customWidth="1"/>
    <col min="7" max="7" width="7.88671875" style="2" customWidth="1"/>
    <col min="8" max="8" width="9.5546875" style="2" customWidth="1"/>
    <col min="9" max="9" width="15.77734375" style="2" customWidth="1"/>
    <col min="10" max="10" width="4" style="2" customWidth="1"/>
    <col min="11" max="11" width="12.109375" style="2" customWidth="1"/>
    <col min="12" max="12" width="10.44140625" style="2" customWidth="1"/>
    <col min="13" max="13" width="11.5546875" style="2" customWidth="1"/>
    <col min="14" max="14" width="45.88671875" style="1" customWidth="1"/>
    <col min="15" max="15" width="11.44140625" style="2" hidden="1" customWidth="1"/>
    <col min="16" max="23" width="9.109375" style="2" hidden="1" customWidth="1"/>
    <col min="24" max="26" width="0" style="2" hidden="1" customWidth="1"/>
    <col min="27" max="16384" width="9.109375" style="2"/>
  </cols>
  <sheetData>
    <row r="2" spans="2:22" ht="40.5" customHeight="1">
      <c r="B2" s="132" t="s">
        <v>86</v>
      </c>
      <c r="C2" s="132"/>
      <c r="D2" s="132"/>
      <c r="E2" s="132"/>
      <c r="F2" s="132"/>
      <c r="G2" s="132"/>
      <c r="H2" s="132"/>
      <c r="I2" s="132"/>
      <c r="J2" s="132"/>
      <c r="K2" s="132"/>
      <c r="L2" s="132"/>
      <c r="M2" s="132"/>
    </row>
    <row r="3" spans="2:22" ht="30.75" customHeight="1">
      <c r="B3" s="135" t="s">
        <v>100</v>
      </c>
      <c r="C3" s="136"/>
      <c r="D3" s="136"/>
      <c r="E3" s="136"/>
      <c r="F3" s="136"/>
      <c r="G3" s="136"/>
      <c r="H3" s="136"/>
      <c r="I3" s="136"/>
      <c r="J3" s="136"/>
      <c r="K3" s="136"/>
      <c r="L3" s="136"/>
      <c r="M3" s="136"/>
    </row>
    <row r="4" spans="2:22" s="4" customFormat="1" ht="33.75" customHeight="1">
      <c r="B4" s="133" t="str">
        <f ca="1">CONCATENATE("YEAR OF ASSESSMENT ",YEAR(NOW())," (For the year ended 31 Dec ",YEAR(NOW())-1, ")")</f>
        <v>YEAR OF ASSESSMENT 2026 (For the year ended 31 Dec 2025)</v>
      </c>
      <c r="C4" s="133"/>
      <c r="D4" s="133"/>
      <c r="E4" s="133"/>
      <c r="F4" s="133"/>
      <c r="G4" s="133"/>
      <c r="H4" s="133"/>
      <c r="I4" s="133"/>
      <c r="J4" s="133"/>
      <c r="K4" s="133"/>
      <c r="L4" s="133"/>
      <c r="M4" s="133"/>
      <c r="N4" s="3"/>
    </row>
    <row r="5" spans="2:22" ht="13.8">
      <c r="B5" s="114"/>
      <c r="C5" s="114"/>
      <c r="D5" s="114"/>
      <c r="E5" s="114"/>
      <c r="F5" s="114"/>
      <c r="G5" s="114"/>
      <c r="H5" s="114"/>
      <c r="I5" s="114"/>
      <c r="J5" s="114"/>
      <c r="K5" s="114"/>
      <c r="L5" s="114"/>
      <c r="M5" s="114"/>
      <c r="N5" s="5"/>
    </row>
    <row r="6" spans="2:22" ht="13.8">
      <c r="B6" s="6" t="s">
        <v>90</v>
      </c>
      <c r="C6" s="7"/>
      <c r="D6" s="7"/>
      <c r="E6" s="7"/>
      <c r="F6" s="7"/>
      <c r="G6" s="7"/>
      <c r="H6" s="7"/>
      <c r="I6" s="7"/>
      <c r="J6" s="7"/>
      <c r="K6" s="7"/>
      <c r="L6" s="7"/>
      <c r="M6" s="7"/>
      <c r="O6" s="8"/>
      <c r="P6" s="8"/>
      <c r="Q6" s="8"/>
      <c r="R6" s="9"/>
      <c r="S6" s="9"/>
      <c r="T6" s="9"/>
    </row>
    <row r="7" spans="2:22" ht="13.8">
      <c r="B7" s="10" t="s">
        <v>0</v>
      </c>
      <c r="C7" s="7"/>
      <c r="D7" s="7"/>
      <c r="E7" s="7"/>
      <c r="F7" s="7"/>
      <c r="G7" s="7"/>
      <c r="H7" s="7"/>
      <c r="I7" s="7"/>
      <c r="J7" s="7"/>
      <c r="K7" s="7"/>
      <c r="L7" s="7"/>
      <c r="M7" s="7"/>
      <c r="O7" s="8"/>
      <c r="P7" s="8"/>
      <c r="Q7" s="8"/>
      <c r="R7" s="9"/>
      <c r="S7" s="9"/>
      <c r="T7" s="9"/>
    </row>
    <row r="8" spans="2:22" ht="14.4">
      <c r="B8" s="11"/>
      <c r="C8" s="12"/>
      <c r="D8" s="12"/>
      <c r="E8" s="12"/>
      <c r="F8" s="12"/>
      <c r="G8" s="12"/>
      <c r="H8" s="12"/>
      <c r="I8" s="12"/>
      <c r="J8" s="12"/>
      <c r="K8" s="12"/>
      <c r="L8" s="134" t="s">
        <v>1</v>
      </c>
      <c r="M8" s="134"/>
      <c r="O8" s="13"/>
      <c r="P8" s="13"/>
      <c r="Q8" s="13"/>
      <c r="R8" s="14"/>
      <c r="S8" s="14"/>
      <c r="T8" s="14"/>
    </row>
    <row r="9" spans="2:22" ht="15" thickBot="1">
      <c r="B9" s="11" t="s">
        <v>2</v>
      </c>
      <c r="C9" s="12"/>
      <c r="D9" s="12"/>
      <c r="E9" s="12"/>
      <c r="F9" s="12"/>
      <c r="G9" s="12"/>
      <c r="H9" s="12"/>
      <c r="I9" s="12"/>
      <c r="J9" s="12"/>
      <c r="K9" s="12"/>
      <c r="L9" s="134"/>
      <c r="M9" s="134"/>
      <c r="O9" s="13"/>
      <c r="P9" s="15"/>
      <c r="Q9" s="15"/>
      <c r="R9" s="16"/>
      <c r="S9" s="16"/>
      <c r="T9" s="16"/>
      <c r="U9" s="17"/>
      <c r="V9" s="17"/>
    </row>
    <row r="10" spans="2:22" ht="15" thickBot="1">
      <c r="B10" s="115" t="s">
        <v>3</v>
      </c>
      <c r="C10" s="19"/>
      <c r="D10" s="19"/>
      <c r="E10" s="19"/>
      <c r="F10" s="12"/>
      <c r="G10" s="12"/>
      <c r="H10" s="12"/>
      <c r="I10" s="12"/>
      <c r="J10" s="12"/>
      <c r="K10" s="12"/>
      <c r="L10" s="130"/>
      <c r="M10" s="131"/>
      <c r="O10" s="13"/>
      <c r="P10" s="15"/>
      <c r="Q10" s="15"/>
      <c r="R10" s="16"/>
      <c r="S10" s="16"/>
      <c r="T10" s="16"/>
      <c r="U10" s="17"/>
      <c r="V10" s="17"/>
    </row>
    <row r="11" spans="2:22" ht="14.4" thickBot="1">
      <c r="B11" s="115" t="s">
        <v>4</v>
      </c>
      <c r="C11" s="20"/>
      <c r="D11" s="20"/>
      <c r="E11" s="20"/>
      <c r="F11" s="12"/>
      <c r="G11" s="12"/>
      <c r="H11" s="12"/>
      <c r="I11" s="12"/>
      <c r="J11" s="12"/>
      <c r="K11" s="12"/>
      <c r="L11" s="130"/>
      <c r="M11" s="131"/>
      <c r="P11" s="17"/>
      <c r="Q11" s="17"/>
      <c r="R11" s="17"/>
      <c r="S11" s="17"/>
      <c r="T11" s="17"/>
      <c r="U11" s="17"/>
      <c r="V11" s="17"/>
    </row>
    <row r="12" spans="2:22" ht="14.4" thickBot="1">
      <c r="B12" s="115" t="s">
        <v>5</v>
      </c>
      <c r="C12" s="20"/>
      <c r="D12" s="20"/>
      <c r="E12" s="20"/>
      <c r="F12" s="12"/>
      <c r="G12" s="12"/>
      <c r="H12" s="12"/>
      <c r="I12" s="12"/>
      <c r="J12" s="12"/>
      <c r="K12" s="12"/>
      <c r="L12" s="130"/>
      <c r="M12" s="131"/>
      <c r="P12" s="17"/>
      <c r="Q12" s="17"/>
      <c r="R12" s="17"/>
      <c r="S12" s="17"/>
      <c r="T12" s="17"/>
      <c r="U12" s="17"/>
      <c r="V12" s="17"/>
    </row>
    <row r="13" spans="2:22" ht="14.4" thickBot="1">
      <c r="B13" s="115" t="s">
        <v>6</v>
      </c>
      <c r="C13" s="21"/>
      <c r="D13" s="21"/>
      <c r="E13" s="21"/>
      <c r="F13" s="21"/>
      <c r="G13" s="21"/>
      <c r="H13" s="21"/>
      <c r="I13" s="21"/>
      <c r="J13" s="21"/>
      <c r="K13" s="12"/>
      <c r="L13" s="130"/>
      <c r="M13" s="131"/>
      <c r="N13" s="137"/>
      <c r="O13" s="137"/>
      <c r="P13" s="17"/>
      <c r="Q13" s="17"/>
      <c r="R13" s="17"/>
      <c r="S13" s="17"/>
      <c r="T13" s="17"/>
      <c r="U13" s="17"/>
      <c r="V13" s="17"/>
    </row>
    <row r="14" spans="2:22" ht="14.4" thickBot="1">
      <c r="B14" s="20"/>
      <c r="C14" s="22"/>
      <c r="D14" s="22"/>
      <c r="E14" s="22"/>
      <c r="F14" s="22"/>
      <c r="G14" s="21"/>
      <c r="H14" s="21"/>
      <c r="I14" s="21"/>
      <c r="J14" s="21"/>
      <c r="K14" s="12"/>
      <c r="L14" s="23"/>
      <c r="M14" s="23"/>
      <c r="N14" s="137"/>
      <c r="O14" s="137"/>
      <c r="P14" s="17"/>
      <c r="Q14" s="17"/>
      <c r="R14" s="17"/>
      <c r="S14" s="17"/>
      <c r="T14" s="17"/>
      <c r="U14" s="17"/>
      <c r="V14" s="17"/>
    </row>
    <row r="15" spans="2:22" ht="26.25" customHeight="1" thickBot="1">
      <c r="C15" s="11" t="s">
        <v>7</v>
      </c>
      <c r="D15" s="145" t="s">
        <v>99</v>
      </c>
      <c r="E15" s="145"/>
      <c r="F15" s="145"/>
      <c r="G15" s="12"/>
      <c r="H15" s="12"/>
      <c r="I15" s="12"/>
      <c r="J15" s="12"/>
      <c r="K15" s="12"/>
      <c r="L15" s="130"/>
      <c r="M15" s="131"/>
      <c r="N15" s="24" t="str">
        <f>IF(OR(C111=K127,B33="yes",B35="yes",B34="yes")=TRUE,IF(AND(L15&gt;SUM(L10,L11,L12,L13),SUM(L10,L11,L12,L13)=0)=TRUE,K135,IF(AND(SUM(L10,L11,L12,L13)=0,L15&gt;0)=TRUE,K135,"")),IF(SUM(L10,L11,L13)=0,IF(AND(L12&gt;0,L15&gt;0)=TRUE,K134,IF(L15=0,"",K135)),IF(SUM(L10,L11,L13)&lt;L15,IF(AND(L12&gt;0,L15&gt;0)=TRUE,K134,""),"")))</f>
        <v/>
      </c>
      <c r="O15" s="25">
        <f>IF(L10+L11+L13-L15&lt;0,0,L10+L11+L13-L15)</f>
        <v>0</v>
      </c>
      <c r="P15" s="138">
        <f>IF(L25=0,0,O15/L25*L27)</f>
        <v>0</v>
      </c>
      <c r="Q15" s="138"/>
      <c r="R15" s="27">
        <f>O15-P15</f>
        <v>0</v>
      </c>
      <c r="S15" s="17"/>
      <c r="T15" s="17"/>
      <c r="U15" s="17"/>
      <c r="V15" s="17"/>
    </row>
    <row r="16" spans="2:22" ht="13.8">
      <c r="B16" s="20"/>
      <c r="C16" s="20"/>
      <c r="D16" s="20"/>
      <c r="E16" s="20"/>
      <c r="F16" s="12"/>
      <c r="G16" s="12"/>
      <c r="H16" s="12"/>
      <c r="I16" s="12"/>
      <c r="J16" s="12"/>
      <c r="K16" s="12"/>
      <c r="L16" s="139"/>
      <c r="M16" s="139"/>
      <c r="N16" s="140"/>
      <c r="O16" s="140"/>
      <c r="P16" s="28"/>
      <c r="Q16" s="17"/>
      <c r="R16" s="17"/>
      <c r="S16" s="17"/>
      <c r="T16" s="17"/>
      <c r="U16" s="17"/>
      <c r="V16" s="17"/>
    </row>
    <row r="17" spans="2:22" ht="13.8">
      <c r="B17" s="141" t="s">
        <v>8</v>
      </c>
      <c r="C17" s="141"/>
      <c r="D17" s="141"/>
      <c r="E17" s="141"/>
      <c r="F17" s="141"/>
      <c r="G17" s="141"/>
      <c r="H17" s="141"/>
      <c r="I17" s="141"/>
      <c r="J17" s="141"/>
      <c r="K17" s="141"/>
      <c r="L17" s="139">
        <f>O15+IF(O23=L12,L12,O23-SUM(L20:M23))</f>
        <v>0</v>
      </c>
      <c r="M17" s="139"/>
      <c r="N17" s="140"/>
      <c r="O17" s="140"/>
      <c r="P17" s="28"/>
      <c r="Q17" s="17"/>
      <c r="R17" s="17"/>
      <c r="S17" s="17"/>
      <c r="T17" s="17"/>
      <c r="U17" s="17"/>
      <c r="V17" s="17"/>
    </row>
    <row r="18" spans="2:22" ht="13.8">
      <c r="B18" s="20"/>
      <c r="C18" s="20"/>
      <c r="D18" s="20"/>
      <c r="E18" s="20"/>
      <c r="F18" s="12"/>
      <c r="G18" s="12"/>
      <c r="H18" s="12"/>
      <c r="I18" s="12"/>
      <c r="J18" s="12"/>
      <c r="K18" s="12"/>
      <c r="L18" s="139"/>
      <c r="M18" s="139"/>
      <c r="N18" s="140"/>
      <c r="O18" s="140"/>
      <c r="P18" s="28"/>
      <c r="Q18" s="17"/>
      <c r="R18" s="17"/>
      <c r="S18" s="17"/>
      <c r="T18" s="17"/>
      <c r="U18" s="17"/>
      <c r="V18" s="17"/>
    </row>
    <row r="19" spans="2:22" ht="14.4" thickBot="1">
      <c r="B19" s="11" t="s">
        <v>9</v>
      </c>
      <c r="C19" s="29"/>
      <c r="D19" s="29"/>
      <c r="E19" s="29"/>
      <c r="F19" s="12"/>
      <c r="G19" s="12"/>
      <c r="H19" s="12"/>
      <c r="I19" s="12"/>
      <c r="J19" s="12"/>
      <c r="K19" s="12"/>
      <c r="L19" s="139"/>
      <c r="M19" s="139"/>
      <c r="N19" s="140"/>
      <c r="O19" s="140"/>
      <c r="P19" s="28"/>
      <c r="Q19" s="17"/>
      <c r="R19" s="17"/>
      <c r="S19" s="17"/>
      <c r="T19" s="17"/>
      <c r="U19" s="17"/>
      <c r="V19" s="17"/>
    </row>
    <row r="20" spans="2:22" ht="14.4" thickBot="1">
      <c r="B20" s="20"/>
      <c r="C20" s="115" t="s">
        <v>10</v>
      </c>
      <c r="D20" s="18"/>
      <c r="E20" s="18"/>
      <c r="F20" s="30"/>
      <c r="G20" s="30"/>
      <c r="H20" s="30"/>
      <c r="I20" s="30"/>
      <c r="J20" s="30"/>
      <c r="K20" s="12"/>
      <c r="L20" s="130"/>
      <c r="M20" s="131"/>
      <c r="N20" s="142" t="str">
        <f>IF(AND(B34="Yes",B32="")=TRUE,IF(OR(L20&lt;=0,L20="")=TRUE,K130,""),"")</f>
        <v/>
      </c>
      <c r="O20" s="142"/>
      <c r="P20" s="28"/>
      <c r="Q20" s="17"/>
      <c r="R20" s="17"/>
      <c r="S20" s="17"/>
      <c r="T20" s="17"/>
      <c r="U20" s="17"/>
      <c r="V20" s="17"/>
    </row>
    <row r="21" spans="2:22" ht="14.4" thickBot="1">
      <c r="B21" s="20"/>
      <c r="C21" s="115" t="s">
        <v>11</v>
      </c>
      <c r="D21" s="18"/>
      <c r="E21" s="18"/>
      <c r="F21" s="30"/>
      <c r="G21" s="30"/>
      <c r="H21" s="30"/>
      <c r="I21" s="30"/>
      <c r="J21" s="30"/>
      <c r="K21" s="12"/>
      <c r="L21" s="130"/>
      <c r="M21" s="131"/>
      <c r="N21" s="140"/>
      <c r="O21" s="140"/>
      <c r="P21" s="28"/>
      <c r="Q21" s="17"/>
      <c r="R21" s="17"/>
      <c r="S21" s="17"/>
      <c r="T21" s="17"/>
      <c r="U21" s="17"/>
      <c r="V21" s="17"/>
    </row>
    <row r="22" spans="2:22" ht="14.4" thickBot="1">
      <c r="B22" s="20"/>
      <c r="C22" s="145" t="s">
        <v>12</v>
      </c>
      <c r="D22" s="145"/>
      <c r="E22" s="145"/>
      <c r="F22" s="145"/>
      <c r="G22" s="30"/>
      <c r="H22" s="30"/>
      <c r="I22" s="30"/>
      <c r="J22" s="30"/>
      <c r="K22" s="12"/>
      <c r="L22" s="130"/>
      <c r="M22" s="131"/>
      <c r="N22" s="140"/>
      <c r="O22" s="140"/>
      <c r="P22" s="28"/>
      <c r="Q22" s="17"/>
      <c r="R22" s="17"/>
      <c r="S22" s="17"/>
      <c r="T22" s="17"/>
      <c r="U22" s="17"/>
      <c r="V22" s="17"/>
    </row>
    <row r="23" spans="2:22" ht="14.4" thickBot="1">
      <c r="B23" s="20"/>
      <c r="C23" s="115" t="s">
        <v>13</v>
      </c>
      <c r="D23" s="115" t="s">
        <v>14</v>
      </c>
      <c r="E23" s="115" t="s">
        <v>15</v>
      </c>
      <c r="G23" s="12"/>
      <c r="H23" s="12"/>
      <c r="I23" s="12"/>
      <c r="J23" s="12"/>
      <c r="K23" s="12"/>
      <c r="L23" s="130"/>
      <c r="M23" s="131"/>
      <c r="O23" s="25">
        <f>IF(COUNTIF(B33:B35,"yes")&gt;0,IF(SUM(L10,L11,L12,L13)&gt;=L15,SUM(L20:M23)+IF(L15-SUM(L10,L11,L13)&lt;0,L12,L12-(L15-SUM(L10,L11,L13))),SUM(L20:M23)+L12),IF(AND(O15=0,L12&gt;0),L12+SUM(L20:M23),IF(SUM(L10,L11,L13)&gt;=L15,SUM(L20:M23)+L12,SUM(L20:M23)+(IF(AND(L15&gt;0,SUM(L10,L11,L13)=0)=TRUE,0,(L12-(L15-SUM(L10,L11,L13))))))))</f>
        <v>0</v>
      </c>
      <c r="P23" s="138">
        <f>IF(L25=0,0,O23/L25*L27)</f>
        <v>0</v>
      </c>
      <c r="Q23" s="138"/>
      <c r="R23" s="27">
        <f>O23-P23</f>
        <v>0</v>
      </c>
      <c r="S23" s="17"/>
      <c r="T23" s="17"/>
      <c r="U23" s="17"/>
      <c r="V23" s="17"/>
    </row>
    <row r="24" spans="2:22" ht="13.8">
      <c r="B24" s="11"/>
      <c r="C24" s="12"/>
      <c r="D24" s="12"/>
      <c r="E24" s="12"/>
      <c r="F24" s="12"/>
      <c r="G24" s="12"/>
      <c r="H24" s="12"/>
      <c r="I24" s="12"/>
      <c r="J24" s="12"/>
      <c r="K24" s="12"/>
      <c r="L24" s="139"/>
      <c r="M24" s="139"/>
      <c r="N24" s="31"/>
      <c r="O24" s="25">
        <f>IF(B34="yes",L20,0)</f>
        <v>0</v>
      </c>
      <c r="P24" s="138">
        <f>IF(B34="yes",O24/L25*L27,0)</f>
        <v>0</v>
      </c>
      <c r="Q24" s="138"/>
      <c r="R24" s="27">
        <f>O24-P24</f>
        <v>0</v>
      </c>
      <c r="S24" s="17"/>
      <c r="T24" s="17"/>
      <c r="U24" s="17"/>
      <c r="V24" s="17"/>
    </row>
    <row r="25" spans="2:22" ht="13.8">
      <c r="B25" s="141" t="s">
        <v>16</v>
      </c>
      <c r="C25" s="141"/>
      <c r="D25" s="141"/>
      <c r="E25" s="141"/>
      <c r="F25" s="141"/>
      <c r="G25" s="141"/>
      <c r="H25" s="141"/>
      <c r="I25" s="141"/>
      <c r="J25" s="141"/>
      <c r="K25" s="141"/>
      <c r="L25" s="139">
        <f>O15+O23</f>
        <v>0</v>
      </c>
      <c r="M25" s="139"/>
      <c r="N25" s="140"/>
      <c r="O25" s="140"/>
      <c r="P25" s="17"/>
      <c r="Q25" s="17"/>
    </row>
    <row r="26" spans="2:22" ht="14.4" thickBot="1">
      <c r="B26" s="113"/>
      <c r="C26" s="113"/>
      <c r="D26" s="113"/>
      <c r="E26" s="113"/>
      <c r="F26" s="113"/>
      <c r="G26" s="113"/>
      <c r="H26" s="113"/>
      <c r="I26" s="113"/>
      <c r="J26" s="113"/>
      <c r="K26" s="113"/>
      <c r="L26" s="112"/>
      <c r="M26" s="112"/>
      <c r="N26" s="140"/>
      <c r="O26" s="140"/>
      <c r="P26" s="17"/>
      <c r="Q26" s="17"/>
    </row>
    <row r="27" spans="2:22" ht="26.25" customHeight="1" thickBot="1">
      <c r="C27" s="11" t="s">
        <v>17</v>
      </c>
      <c r="D27" s="145" t="s">
        <v>18</v>
      </c>
      <c r="E27" s="145"/>
      <c r="F27" s="145"/>
      <c r="G27" s="30"/>
      <c r="H27" s="30"/>
      <c r="I27" s="30"/>
      <c r="J27" s="30"/>
      <c r="K27" s="12"/>
      <c r="L27" s="130"/>
      <c r="M27" s="131"/>
      <c r="N27" s="3" t="str">
        <f>IF(AND(L27&gt;0,L25=0)=TRUE,K136,"")</f>
        <v/>
      </c>
      <c r="O27" s="32"/>
      <c r="P27" s="17"/>
      <c r="Q27" s="17"/>
    </row>
    <row r="28" spans="2:22" ht="13.8">
      <c r="B28" s="11"/>
      <c r="C28" s="12"/>
      <c r="D28" s="12"/>
      <c r="E28" s="12"/>
      <c r="F28" s="12"/>
      <c r="G28" s="12"/>
      <c r="H28" s="12"/>
      <c r="I28" s="12"/>
      <c r="J28" s="12"/>
      <c r="K28" s="12"/>
      <c r="L28" s="143"/>
      <c r="M28" s="143"/>
      <c r="N28" s="140"/>
      <c r="O28" s="140"/>
      <c r="P28" s="17"/>
      <c r="Q28" s="17"/>
    </row>
    <row r="29" spans="2:22" ht="13.8">
      <c r="B29" s="141" t="s">
        <v>19</v>
      </c>
      <c r="C29" s="141"/>
      <c r="D29" s="141"/>
      <c r="E29" s="141"/>
      <c r="F29" s="141"/>
      <c r="G29" s="141"/>
      <c r="H29" s="141"/>
      <c r="I29" s="141"/>
      <c r="J29" s="141"/>
      <c r="K29" s="141"/>
      <c r="L29" s="139">
        <f>IF(L25=0,0,L25-L27)</f>
        <v>0</v>
      </c>
      <c r="M29" s="139"/>
      <c r="O29" s="17"/>
      <c r="P29" s="17"/>
      <c r="Q29" s="17"/>
    </row>
    <row r="30" spans="2:22" ht="13.8">
      <c r="B30" s="113"/>
      <c r="C30" s="113"/>
      <c r="D30" s="113"/>
      <c r="E30" s="113"/>
      <c r="F30" s="113"/>
      <c r="G30" s="113"/>
      <c r="H30" s="113"/>
      <c r="I30" s="113"/>
      <c r="J30" s="113"/>
      <c r="K30" s="113"/>
      <c r="L30" s="112"/>
      <c r="M30" s="112"/>
      <c r="O30" s="17"/>
      <c r="P30" s="17"/>
      <c r="Q30" s="17"/>
    </row>
    <row r="31" spans="2:22" ht="13.8" hidden="1">
      <c r="B31" s="33" t="s">
        <v>20</v>
      </c>
      <c r="C31" s="34"/>
      <c r="D31" s="34"/>
      <c r="E31" s="34"/>
      <c r="F31" s="35"/>
      <c r="G31" s="95" t="s">
        <v>21</v>
      </c>
      <c r="H31" s="36"/>
      <c r="I31" s="37"/>
      <c r="J31" s="37"/>
      <c r="L31" s="34"/>
      <c r="M31" s="34"/>
      <c r="N31" s="5"/>
    </row>
    <row r="32" spans="2:22" ht="14.4" hidden="1" thickBot="1">
      <c r="B32" s="38" t="str">
        <f>IF(COUNTIF(B33:B35,"Yes")&gt;1,K119,"")</f>
        <v/>
      </c>
      <c r="C32" s="34"/>
      <c r="D32" s="34"/>
      <c r="E32" s="34"/>
      <c r="F32" s="35"/>
      <c r="G32" s="35"/>
      <c r="H32" s="35"/>
      <c r="I32" s="35"/>
      <c r="J32" s="35"/>
      <c r="K32" s="35"/>
      <c r="L32" s="34"/>
      <c r="M32" s="34"/>
    </row>
    <row r="33" spans="2:19" ht="15.75" hidden="1" customHeight="1" thickBot="1">
      <c r="B33" s="39"/>
      <c r="C33" s="34" t="s">
        <v>22</v>
      </c>
      <c r="D33" s="34"/>
      <c r="E33" s="34"/>
      <c r="F33" s="35"/>
      <c r="G33" s="35"/>
      <c r="H33" s="35"/>
      <c r="I33" s="35"/>
      <c r="J33" s="35"/>
      <c r="K33" s="35"/>
      <c r="L33" s="34"/>
      <c r="M33" s="34"/>
    </row>
    <row r="34" spans="2:19" ht="14.4" hidden="1" thickBot="1">
      <c r="B34" s="39"/>
      <c r="C34" s="34" t="s">
        <v>23</v>
      </c>
      <c r="D34" s="34"/>
      <c r="E34" s="34"/>
      <c r="F34" s="35"/>
      <c r="G34" s="35"/>
      <c r="H34" s="35"/>
      <c r="I34" s="35"/>
      <c r="J34" s="35"/>
      <c r="K34" s="35"/>
      <c r="L34" s="34"/>
      <c r="M34" s="34"/>
    </row>
    <row r="35" spans="2:19" ht="14.4" hidden="1" thickBot="1">
      <c r="B35" s="39"/>
      <c r="C35" s="34" t="s">
        <v>24</v>
      </c>
      <c r="D35" s="34"/>
      <c r="E35" s="34"/>
      <c r="F35" s="35"/>
      <c r="G35" s="35"/>
      <c r="H35" s="35"/>
      <c r="I35" s="35"/>
      <c r="J35" s="35"/>
      <c r="K35" s="35"/>
      <c r="L35" s="34"/>
      <c r="M35" s="34"/>
    </row>
    <row r="36" spans="2:19" ht="13.8">
      <c r="B36" s="113"/>
      <c r="C36" s="113"/>
      <c r="D36" s="113"/>
      <c r="E36" s="113"/>
      <c r="F36" s="113"/>
      <c r="G36" s="113"/>
      <c r="H36" s="113"/>
      <c r="I36" s="113"/>
      <c r="J36" s="113"/>
      <c r="K36" s="113"/>
      <c r="L36" s="112"/>
      <c r="M36" s="112"/>
      <c r="O36" s="17"/>
      <c r="P36" s="17"/>
      <c r="Q36" s="17"/>
    </row>
    <row r="37" spans="2:19" ht="13.8">
      <c r="B37" s="11" t="s">
        <v>25</v>
      </c>
      <c r="C37" s="40"/>
      <c r="D37" s="40"/>
      <c r="E37" s="40"/>
      <c r="F37" s="41" t="str">
        <f>IF(B32="",IF(AND(OR(C111=K127,COUNTIF(B33:B35,"yes")&gt;0)=TRUE,O45=0)=TRUE,IF(L29&gt;0,K122,""),""),K121)</f>
        <v/>
      </c>
      <c r="G37" s="42"/>
      <c r="H37" s="42"/>
      <c r="I37" s="42"/>
      <c r="J37" s="42"/>
      <c r="K37" s="96"/>
      <c r="L37" s="43"/>
      <c r="M37" s="43"/>
      <c r="N37" s="44"/>
      <c r="O37" s="17"/>
      <c r="P37" s="17"/>
      <c r="Q37" s="17"/>
    </row>
    <row r="38" spans="2:19" ht="13.8">
      <c r="B38" s="128" t="s">
        <v>91</v>
      </c>
      <c r="C38" s="128"/>
      <c r="D38" s="128"/>
      <c r="E38" s="128"/>
      <c r="F38" s="129"/>
      <c r="G38" s="144" t="str">
        <f>HYPERLINK(K137,"progressive resident rates)")</f>
        <v>progressive resident rates)</v>
      </c>
      <c r="H38" s="144"/>
      <c r="I38" s="144"/>
      <c r="J38" s="42"/>
      <c r="L38" s="43"/>
      <c r="M38" s="43"/>
      <c r="N38" s="44"/>
      <c r="O38" s="17"/>
      <c r="P38" s="17"/>
      <c r="Q38" s="17"/>
    </row>
    <row r="39" spans="2:19" ht="14.4" thickBot="1">
      <c r="B39" s="11"/>
      <c r="C39" s="40"/>
      <c r="D39" s="40"/>
      <c r="E39" s="40"/>
      <c r="F39" s="12"/>
      <c r="G39" s="12"/>
      <c r="H39" s="12"/>
      <c r="I39" s="12"/>
      <c r="J39" s="12"/>
      <c r="K39" s="12"/>
      <c r="L39" s="112"/>
      <c r="M39" s="112"/>
      <c r="N39" s="45"/>
      <c r="O39" s="46"/>
      <c r="P39" s="46"/>
      <c r="Q39" s="17"/>
      <c r="R39" s="47"/>
      <c r="S39" s="48"/>
    </row>
    <row r="40" spans="2:19" ht="26.25" customHeight="1" thickBot="1">
      <c r="B40" s="12"/>
      <c r="C40" s="145" t="s">
        <v>89</v>
      </c>
      <c r="D40" s="145"/>
      <c r="E40" s="145"/>
      <c r="F40" s="145"/>
      <c r="G40" s="145"/>
      <c r="H40" s="21"/>
      <c r="I40" s="21"/>
      <c r="J40" s="21"/>
      <c r="K40" s="12"/>
      <c r="L40" s="130"/>
      <c r="M40" s="131"/>
      <c r="N40" s="49" t="str">
        <f>IF($B$32="",IF(OR($N$54=$K$127,COUNTIF(B33:B35,"yes")&gt;0)=TRUE,IF(O15+L20+L12&gt;0,IF(L40="",K133,""),IF(L40="","",K131)),IF($L$40&lt;&gt;"",$K$123,"")),$K$121)</f>
        <v/>
      </c>
      <c r="O40" s="46"/>
      <c r="P40" s="46"/>
      <c r="Q40" s="17"/>
      <c r="R40" s="47"/>
      <c r="S40" s="48"/>
    </row>
    <row r="41" spans="2:19" ht="26.25" customHeight="1" thickBot="1">
      <c r="B41" s="12"/>
      <c r="C41" s="145" t="s">
        <v>94</v>
      </c>
      <c r="D41" s="145"/>
      <c r="E41" s="145"/>
      <c r="F41" s="145"/>
      <c r="G41" s="145"/>
      <c r="H41" s="21"/>
      <c r="I41" s="21"/>
      <c r="J41" s="21"/>
      <c r="K41" s="12"/>
      <c r="L41" s="130"/>
      <c r="M41" s="131"/>
      <c r="N41" s="49" t="str">
        <f>IF($B$32="",IF(OR($N$54=$K$127,COUNTIF($B$33:$B$35,"yes")&gt;0)=TRUE,"",IF($L41&lt;&gt;"",$K$123,"")),$K$121)</f>
        <v/>
      </c>
      <c r="O41" s="46"/>
      <c r="P41" s="46"/>
      <c r="Q41" s="17"/>
      <c r="R41" s="47"/>
      <c r="S41" s="48"/>
    </row>
    <row r="42" spans="2:19" ht="26.25" customHeight="1" thickBot="1">
      <c r="B42" s="12"/>
      <c r="C42" s="145" t="s">
        <v>95</v>
      </c>
      <c r="D42" s="145"/>
      <c r="E42" s="145"/>
      <c r="F42" s="145"/>
      <c r="G42" s="145"/>
      <c r="H42" s="145"/>
      <c r="I42" s="21"/>
      <c r="J42" s="21"/>
      <c r="K42" s="12"/>
      <c r="L42" s="130"/>
      <c r="M42" s="131"/>
      <c r="N42" s="49" t="str">
        <f>IF($B$32="",IF(OR($N$54=$K$127,COUNTIF($B$33:$B$35,"yes")&gt;0)=TRUE,"",IF($L42&lt;&gt;"",$K$123,"")),$K$121)</f>
        <v/>
      </c>
      <c r="O42" s="46"/>
      <c r="P42" s="46"/>
      <c r="Q42" s="17"/>
      <c r="R42" s="47"/>
      <c r="S42" s="48"/>
    </row>
    <row r="43" spans="2:19" ht="26.25" customHeight="1" thickBot="1">
      <c r="B43" s="12"/>
      <c r="C43" s="145" t="s">
        <v>96</v>
      </c>
      <c r="D43" s="145"/>
      <c r="E43" s="145"/>
      <c r="F43" s="145"/>
      <c r="G43" s="145"/>
      <c r="H43" s="30"/>
      <c r="I43" s="30"/>
      <c r="J43" s="30"/>
      <c r="K43" s="12"/>
      <c r="L43" s="130"/>
      <c r="M43" s="131"/>
      <c r="N43" s="49" t="str">
        <f>IF($B$32="",IF(OR($N$54=$K$127,COUNTIF($B$33:$B$35,"yes")&gt;0)=TRUE,"",IF($L43&lt;&gt;"",$K$123,"")),$K$121)</f>
        <v/>
      </c>
      <c r="O43" s="46"/>
      <c r="P43" s="46"/>
      <c r="Q43" s="17"/>
      <c r="R43" s="47"/>
      <c r="S43" s="48"/>
    </row>
    <row r="44" spans="2:19" ht="26.25" customHeight="1" thickBot="1">
      <c r="B44" s="12"/>
      <c r="C44" s="145" t="s">
        <v>97</v>
      </c>
      <c r="D44" s="145"/>
      <c r="E44" s="145"/>
      <c r="F44" s="145"/>
      <c r="G44" s="145"/>
      <c r="H44" s="22"/>
      <c r="I44" s="22"/>
      <c r="J44" s="22"/>
      <c r="L44" s="130"/>
      <c r="M44" s="131"/>
      <c r="N44" s="49" t="str">
        <f>IF($B$32="",IF(OR($N$54=$K$127,COUNTIF($B$33:$B$35,"yes")&gt;0)=TRUE,"",IF($L44&lt;&gt;"",$K$123,"")),$K$121)</f>
        <v/>
      </c>
      <c r="O44" s="46"/>
      <c r="P44" s="46"/>
      <c r="Q44" s="17"/>
      <c r="R44" s="47"/>
      <c r="S44" s="48"/>
    </row>
    <row r="45" spans="2:19" ht="26.25" customHeight="1" thickBot="1">
      <c r="B45" s="12"/>
      <c r="C45" s="145" t="s">
        <v>98</v>
      </c>
      <c r="D45" s="145"/>
      <c r="E45" s="145"/>
      <c r="F45" s="145"/>
      <c r="G45" s="21"/>
      <c r="H45" s="21"/>
      <c r="I45" s="21"/>
      <c r="J45" s="21"/>
      <c r="K45" s="12"/>
      <c r="L45" s="130"/>
      <c r="M45" s="131"/>
      <c r="N45" s="49" t="str">
        <f>IF($B$32="",IF(OR($N$54=$K$127,COUNTIF($B$33:$B$35,"yes")&gt;0)=TRUE,IF(L44+L45&gt;5000,K124,""),IF($L45&lt;&gt;"",$K$123,"")),$K$121)</f>
        <v/>
      </c>
      <c r="O45" s="50">
        <f>IF((L10+L11+L12+L13+L20)=0,IF((L44+L45)&gt;5000,SUM(L41:M43)+5000,SUM(L41:M45)),IF((L44+L45)&gt;5000,IF(B34="yes",IF(L20&gt;0,SUM(L40:M43)+5000,SUM(L41:M43)+5000),SUM(L40:M43)+5000),IF(B34="yes",IF(L20&gt;0,SUM(L40:M45),SUM(L41:M45)),SUM(L40:M45))))</f>
        <v>0</v>
      </c>
      <c r="P45" s="26"/>
      <c r="Q45" s="17"/>
      <c r="R45" s="47"/>
      <c r="S45" s="48"/>
    </row>
    <row r="46" spans="2:19" ht="13.8">
      <c r="B46" s="11"/>
      <c r="C46" s="12"/>
      <c r="D46" s="12"/>
      <c r="E46" s="12"/>
      <c r="F46" s="12"/>
      <c r="G46" s="12"/>
      <c r="H46" s="12"/>
      <c r="I46" s="12"/>
      <c r="J46" s="12"/>
      <c r="K46" s="12"/>
      <c r="L46" s="143"/>
      <c r="M46" s="143"/>
      <c r="N46" s="31"/>
      <c r="O46" s="51"/>
      <c r="P46" s="51"/>
      <c r="Q46" s="17"/>
      <c r="R46" s="47"/>
      <c r="S46" s="48"/>
    </row>
    <row r="47" spans="2:19" ht="13.8">
      <c r="B47" s="146" t="s">
        <v>26</v>
      </c>
      <c r="C47" s="146"/>
      <c r="D47" s="146"/>
      <c r="E47" s="146"/>
      <c r="F47" s="146"/>
      <c r="G47" s="146"/>
      <c r="H47" s="146"/>
      <c r="I47" s="146"/>
      <c r="J47" s="146"/>
      <c r="K47" s="146"/>
      <c r="L47" s="139">
        <f>IF(B32="",IF(C111=K127,IF(O45&gt;L29,0,L29-O45),L29),K120)</f>
        <v>0</v>
      </c>
      <c r="M47" s="139"/>
      <c r="N47" s="45" t="str">
        <f>IF(L47=$K$120,$K$121,"")</f>
        <v/>
      </c>
      <c r="O47" s="52"/>
      <c r="P47" s="52"/>
      <c r="Q47" s="17"/>
      <c r="R47" s="47"/>
      <c r="S47" s="48"/>
    </row>
    <row r="48" spans="2:19" ht="13.8">
      <c r="B48" s="53"/>
      <c r="C48" s="12"/>
      <c r="D48" s="12"/>
      <c r="E48" s="12"/>
      <c r="F48" s="12"/>
      <c r="G48" s="12"/>
      <c r="H48" s="12"/>
      <c r="I48" s="12"/>
      <c r="J48" s="12"/>
      <c r="K48" s="12"/>
      <c r="L48" s="139"/>
      <c r="M48" s="139"/>
      <c r="N48" s="31"/>
      <c r="O48" s="54"/>
      <c r="P48" s="54"/>
      <c r="Q48" s="17"/>
      <c r="R48" s="47"/>
      <c r="S48" s="48"/>
    </row>
    <row r="49" spans="2:17" ht="13.8">
      <c r="B49" s="53" t="s">
        <v>27</v>
      </c>
      <c r="C49" s="12"/>
      <c r="D49" s="12"/>
      <c r="E49" s="12"/>
      <c r="F49" s="12"/>
      <c r="G49" s="12"/>
      <c r="H49" s="12"/>
      <c r="I49" s="12"/>
      <c r="J49" s="12"/>
      <c r="K49" s="12"/>
      <c r="L49" s="147">
        <f>IF(B32="",IF(C111=K127,B111,IF(C111=K128,L47*OthersNRtaxrates,(R15*EmptNRtaxates+R23*OthersNRtaxrates))),K121)</f>
        <v>0</v>
      </c>
      <c r="M49" s="147"/>
      <c r="N49" s="55" t="str">
        <f>IF(L49=$K$120,$K$121,"")</f>
        <v/>
      </c>
      <c r="O49" s="17"/>
      <c r="P49" s="17"/>
      <c r="Q49" s="17"/>
    </row>
    <row r="50" spans="2:17" ht="14.4" thickBot="1">
      <c r="B50" s="53"/>
      <c r="C50" s="12"/>
      <c r="D50" s="12"/>
      <c r="E50" s="12"/>
      <c r="F50" s="12"/>
      <c r="G50" s="12"/>
      <c r="H50" s="12"/>
      <c r="I50" s="12"/>
      <c r="J50" s="12"/>
      <c r="K50" s="12"/>
      <c r="L50" s="147"/>
      <c r="M50" s="147"/>
      <c r="N50" s="55"/>
      <c r="O50" s="17"/>
      <c r="P50" s="17"/>
      <c r="Q50" s="17"/>
    </row>
    <row r="51" spans="2:17" ht="15" hidden="1" thickTop="1" thickBot="1">
      <c r="B51" s="53" t="s">
        <v>28</v>
      </c>
      <c r="C51" s="95" t="s">
        <v>29</v>
      </c>
      <c r="D51" s="36"/>
      <c r="E51" s="36"/>
      <c r="F51" s="12" t="s">
        <v>30</v>
      </c>
      <c r="G51" s="12"/>
      <c r="H51" s="12"/>
      <c r="I51" s="12"/>
      <c r="J51" s="12"/>
      <c r="K51" s="12"/>
      <c r="L51" s="148">
        <f>IF(C111=K128,C109,0)</f>
        <v>0</v>
      </c>
      <c r="M51" s="149"/>
      <c r="N51" s="55" t="str">
        <f>IF(L51=$K$120,$K$121,"")</f>
        <v/>
      </c>
      <c r="O51" s="17"/>
      <c r="P51" s="17"/>
      <c r="Q51" s="17"/>
    </row>
    <row r="52" spans="2:17" ht="14.4" thickBot="1">
      <c r="B52" s="53" t="s">
        <v>7</v>
      </c>
      <c r="C52" s="56" t="s">
        <v>31</v>
      </c>
      <c r="D52" s="18"/>
      <c r="E52" s="18"/>
      <c r="F52" s="12"/>
      <c r="G52" s="12"/>
      <c r="H52" s="12"/>
      <c r="I52" s="12"/>
      <c r="J52" s="12"/>
      <c r="K52" s="12"/>
      <c r="L52" s="150"/>
      <c r="M52" s="151"/>
      <c r="N52" s="55"/>
    </row>
    <row r="53" spans="2:17" ht="13.8">
      <c r="B53" s="53"/>
      <c r="C53" s="53"/>
      <c r="D53" s="53"/>
      <c r="E53" s="53"/>
      <c r="F53" s="12"/>
      <c r="G53" s="12"/>
      <c r="H53" s="12"/>
      <c r="I53" s="12"/>
      <c r="J53" s="12"/>
      <c r="K53" s="12"/>
      <c r="L53" s="147"/>
      <c r="M53" s="147"/>
      <c r="N53" s="55"/>
    </row>
    <row r="54" spans="2:17" ht="13.8">
      <c r="B54" s="141" t="s">
        <v>32</v>
      </c>
      <c r="C54" s="141"/>
      <c r="D54" s="141"/>
      <c r="E54" s="141"/>
      <c r="F54" s="141"/>
      <c r="G54" s="141"/>
      <c r="H54" s="141"/>
      <c r="I54" s="141"/>
      <c r="J54" s="141"/>
      <c r="K54" s="141"/>
      <c r="L54" s="152">
        <f>IF(B32="",IF(COUNTIF(B33:B35,"Yes")&gt;0,L49-L51-L52,L49-L52),K120)</f>
        <v>0</v>
      </c>
      <c r="M54" s="152"/>
      <c r="N54" s="1" t="str">
        <f>IF(C111=K132,K132,IF(C111=K127,K127,""))</f>
        <v/>
      </c>
    </row>
    <row r="55" spans="2:17" ht="12" customHeight="1">
      <c r="B55" s="113"/>
      <c r="C55" s="113"/>
      <c r="D55" s="113"/>
      <c r="E55" s="113"/>
      <c r="F55" s="113"/>
      <c r="G55" s="113"/>
      <c r="H55" s="113"/>
      <c r="I55" s="113"/>
      <c r="J55" s="113"/>
      <c r="K55" s="113"/>
      <c r="L55" s="116"/>
      <c r="M55" s="116"/>
      <c r="N55" s="109"/>
    </row>
    <row r="56" spans="2:17" ht="13.8">
      <c r="B56" s="53"/>
      <c r="C56" s="12"/>
      <c r="D56" s="12"/>
      <c r="E56" s="12"/>
      <c r="F56" s="12"/>
      <c r="G56" s="12"/>
      <c r="H56" s="12"/>
      <c r="I56" s="12"/>
      <c r="J56" s="12"/>
      <c r="K56" s="12"/>
      <c r="L56" s="134"/>
      <c r="M56" s="134"/>
      <c r="N56" s="109"/>
    </row>
    <row r="57" spans="2:17" ht="25.5" customHeight="1">
      <c r="B57" s="155" t="s">
        <v>33</v>
      </c>
      <c r="C57" s="155"/>
      <c r="D57" s="155"/>
      <c r="E57" s="155"/>
      <c r="F57" s="155"/>
      <c r="G57" s="155"/>
      <c r="H57" s="155"/>
      <c r="I57" s="155"/>
      <c r="J57" s="155"/>
      <c r="K57" s="155"/>
      <c r="L57" s="155"/>
      <c r="M57" s="155"/>
      <c r="N57" s="5"/>
    </row>
    <row r="58" spans="2:17" ht="14.4">
      <c r="B58" s="117"/>
      <c r="C58" s="118"/>
      <c r="D58" s="118"/>
      <c r="E58" s="118"/>
      <c r="F58" s="118"/>
      <c r="G58" s="118"/>
      <c r="H58" s="118"/>
      <c r="I58" s="118"/>
      <c r="J58" s="118"/>
      <c r="K58" s="118"/>
      <c r="L58" s="118"/>
      <c r="M58" s="118"/>
      <c r="O58" s="119"/>
    </row>
    <row r="59" spans="2:17" ht="14.4">
      <c r="B59" s="117"/>
      <c r="C59" s="120" t="s">
        <v>34</v>
      </c>
      <c r="D59" s="121"/>
      <c r="E59" s="121"/>
      <c r="F59" s="122"/>
      <c r="G59" s="123" t="str">
        <f>CONCATENATE(EmptNRtaxates*100,"% or")</f>
        <v>15% or</v>
      </c>
      <c r="H59" s="154" t="str">
        <f>HYPERLINK(K137,"progressive resident rates")</f>
        <v>progressive resident rates</v>
      </c>
      <c r="I59" s="154"/>
      <c r="J59" s="124" t="s">
        <v>35</v>
      </c>
      <c r="K59" s="124"/>
      <c r="L59" s="122"/>
      <c r="M59" s="118"/>
    </row>
    <row r="60" spans="2:17" ht="33" customHeight="1">
      <c r="B60" s="117"/>
      <c r="C60" s="156" t="s">
        <v>36</v>
      </c>
      <c r="D60" s="157"/>
      <c r="E60" s="157"/>
      <c r="F60" s="158"/>
      <c r="G60" s="125">
        <f>OthersNRtaxrates</f>
        <v>0.24</v>
      </c>
      <c r="H60" s="126"/>
      <c r="I60" s="126"/>
      <c r="J60" s="127"/>
      <c r="K60" s="121"/>
      <c r="L60" s="122"/>
      <c r="M60" s="118"/>
    </row>
    <row r="61" spans="2:17" ht="13.8">
      <c r="B61" s="57"/>
      <c r="C61" s="58"/>
      <c r="D61" s="58"/>
      <c r="E61" s="58"/>
      <c r="F61" s="58"/>
      <c r="G61" s="58"/>
      <c r="H61" s="58"/>
      <c r="I61" s="58"/>
      <c r="J61" s="58"/>
      <c r="K61" s="58"/>
      <c r="L61" s="58"/>
      <c r="M61" s="58"/>
      <c r="N61" s="153"/>
      <c r="O61" s="153"/>
    </row>
    <row r="62" spans="2:17" ht="13.8" hidden="1">
      <c r="B62" s="155" t="s">
        <v>37</v>
      </c>
      <c r="C62" s="155"/>
      <c r="D62" s="155"/>
      <c r="E62" s="155"/>
      <c r="F62" s="155"/>
      <c r="G62" s="155"/>
      <c r="H62" s="155"/>
      <c r="I62" s="155"/>
      <c r="J62" s="155"/>
      <c r="K62" s="155"/>
      <c r="L62" s="155"/>
      <c r="M62" s="155"/>
    </row>
    <row r="63" spans="2:17" ht="13.8" hidden="1">
      <c r="B63" s="57"/>
      <c r="C63" s="58"/>
      <c r="D63" s="58"/>
      <c r="E63" s="58"/>
      <c r="F63" s="58"/>
      <c r="G63" s="58"/>
      <c r="H63" s="58"/>
      <c r="I63" s="58"/>
      <c r="J63" s="58"/>
      <c r="K63" s="58"/>
      <c r="L63" s="58"/>
      <c r="M63" s="58"/>
    </row>
    <row r="64" spans="2:17" ht="27.6" hidden="1">
      <c r="B64" s="59"/>
      <c r="C64" s="60"/>
      <c r="D64" s="60"/>
      <c r="E64" s="60"/>
      <c r="F64" s="61" t="s">
        <v>38</v>
      </c>
      <c r="G64" s="61" t="s">
        <v>39</v>
      </c>
      <c r="H64" s="61"/>
      <c r="I64" s="61"/>
      <c r="J64" s="61"/>
      <c r="K64" s="61" t="s">
        <v>40</v>
      </c>
      <c r="L64" s="62"/>
      <c r="M64" s="63"/>
    </row>
    <row r="65" spans="2:13" ht="14.4" hidden="1">
      <c r="B65" s="59"/>
      <c r="C65" s="64"/>
      <c r="D65" s="64"/>
      <c r="E65" s="64"/>
      <c r="F65" s="64"/>
      <c r="G65" s="64"/>
      <c r="H65" s="64"/>
      <c r="I65" s="64"/>
      <c r="J65" s="64"/>
      <c r="K65" s="64"/>
      <c r="L65" s="65"/>
      <c r="M65" s="65"/>
    </row>
    <row r="66" spans="2:13" ht="14.4" hidden="1">
      <c r="B66" s="59"/>
      <c r="C66" s="64"/>
      <c r="D66" s="64"/>
      <c r="E66" s="64"/>
      <c r="F66" s="66" t="s">
        <v>41</v>
      </c>
      <c r="G66" s="66" t="s">
        <v>42</v>
      </c>
      <c r="H66" s="66"/>
      <c r="I66" s="66"/>
      <c r="J66" s="66"/>
      <c r="K66" s="66" t="s">
        <v>41</v>
      </c>
      <c r="L66" s="67"/>
      <c r="M66" s="67"/>
    </row>
    <row r="67" spans="2:13" ht="41.4" hidden="1">
      <c r="B67" s="59"/>
      <c r="C67" s="68" t="s">
        <v>43</v>
      </c>
      <c r="D67" s="68"/>
      <c r="E67" s="68"/>
      <c r="F67" s="69">
        <v>2500</v>
      </c>
      <c r="G67" s="70">
        <v>4</v>
      </c>
      <c r="H67" s="70"/>
      <c r="I67" s="70"/>
      <c r="J67" s="70"/>
      <c r="K67" s="70">
        <v>100</v>
      </c>
      <c r="L67" s="59"/>
      <c r="M67" s="59"/>
    </row>
    <row r="68" spans="2:13" ht="41.4" hidden="1">
      <c r="B68" s="59"/>
      <c r="C68" s="68" t="s">
        <v>44</v>
      </c>
      <c r="D68" s="68"/>
      <c r="E68" s="68"/>
      <c r="F68" s="69">
        <v>2500</v>
      </c>
      <c r="G68" s="70">
        <v>6</v>
      </c>
      <c r="H68" s="70"/>
      <c r="I68" s="70"/>
      <c r="J68" s="70"/>
      <c r="K68" s="70">
        <v>150</v>
      </c>
      <c r="L68" s="59"/>
      <c r="M68" s="59"/>
    </row>
    <row r="69" spans="2:13" ht="41.4" hidden="1">
      <c r="B69" s="59"/>
      <c r="C69" s="68" t="s">
        <v>43</v>
      </c>
      <c r="D69" s="68"/>
      <c r="E69" s="68"/>
      <c r="F69" s="69">
        <v>5000</v>
      </c>
      <c r="G69" s="70"/>
      <c r="H69" s="70"/>
      <c r="I69" s="70"/>
      <c r="J69" s="70"/>
      <c r="K69" s="70">
        <v>250</v>
      </c>
      <c r="L69" s="59"/>
      <c r="M69" s="59"/>
    </row>
    <row r="70" spans="2:13" ht="41.4" hidden="1">
      <c r="B70" s="59"/>
      <c r="C70" s="68" t="s">
        <v>44</v>
      </c>
      <c r="D70" s="68"/>
      <c r="E70" s="68"/>
      <c r="F70" s="69">
        <v>2500</v>
      </c>
      <c r="G70" s="70">
        <v>8</v>
      </c>
      <c r="H70" s="70"/>
      <c r="I70" s="70"/>
      <c r="J70" s="70"/>
      <c r="K70" s="70">
        <v>200</v>
      </c>
      <c r="L70" s="59"/>
      <c r="M70" s="59"/>
    </row>
    <row r="71" spans="2:13" ht="41.4" hidden="1">
      <c r="B71" s="59"/>
      <c r="C71" s="68" t="s">
        <v>43</v>
      </c>
      <c r="D71" s="68"/>
      <c r="E71" s="68"/>
      <c r="F71" s="69">
        <v>7500</v>
      </c>
      <c r="G71" s="70"/>
      <c r="H71" s="70"/>
      <c r="I71" s="70"/>
      <c r="J71" s="70"/>
      <c r="K71" s="69">
        <v>450</v>
      </c>
      <c r="L71" s="59"/>
      <c r="M71" s="59"/>
    </row>
    <row r="72" spans="2:13" ht="41.4" hidden="1">
      <c r="B72" s="59"/>
      <c r="C72" s="68" t="s">
        <v>44</v>
      </c>
      <c r="D72" s="68"/>
      <c r="E72" s="68"/>
      <c r="F72" s="69">
        <v>2500</v>
      </c>
      <c r="G72" s="70">
        <v>10</v>
      </c>
      <c r="H72" s="70"/>
      <c r="I72" s="70"/>
      <c r="J72" s="70"/>
      <c r="K72" s="69">
        <v>250</v>
      </c>
      <c r="L72" s="59"/>
      <c r="M72" s="59"/>
    </row>
    <row r="73" spans="2:13" ht="41.4" hidden="1">
      <c r="B73" s="59"/>
      <c r="C73" s="64" t="s">
        <v>43</v>
      </c>
      <c r="D73" s="64"/>
      <c r="E73" s="64"/>
      <c r="F73" s="69">
        <v>10000</v>
      </c>
      <c r="G73" s="70"/>
      <c r="H73" s="70"/>
      <c r="I73" s="70"/>
      <c r="J73" s="70"/>
      <c r="K73" s="69">
        <v>700</v>
      </c>
      <c r="L73" s="71"/>
      <c r="M73" s="72"/>
    </row>
    <row r="74" spans="2:13" ht="41.4" hidden="1">
      <c r="B74" s="59"/>
      <c r="C74" s="64" t="s">
        <v>44</v>
      </c>
      <c r="D74" s="64"/>
      <c r="E74" s="64"/>
      <c r="F74" s="69">
        <v>5000</v>
      </c>
      <c r="G74" s="70">
        <v>14</v>
      </c>
      <c r="H74" s="70"/>
      <c r="I74" s="70"/>
      <c r="J74" s="70"/>
      <c r="K74" s="69">
        <v>700</v>
      </c>
      <c r="L74" s="59"/>
      <c r="M74" s="59"/>
    </row>
    <row r="75" spans="2:13" ht="41.4" hidden="1">
      <c r="C75" s="64" t="s">
        <v>43</v>
      </c>
      <c r="D75" s="64"/>
      <c r="E75" s="64"/>
      <c r="F75" s="69">
        <v>15000</v>
      </c>
      <c r="G75" s="70"/>
      <c r="H75" s="70"/>
      <c r="I75" s="70"/>
      <c r="J75" s="70"/>
      <c r="K75" s="69">
        <v>1400</v>
      </c>
    </row>
    <row r="76" spans="2:13" ht="41.4" hidden="1">
      <c r="C76" s="64" t="s">
        <v>44</v>
      </c>
      <c r="D76" s="64"/>
      <c r="E76" s="64"/>
      <c r="F76" s="69">
        <v>5000</v>
      </c>
      <c r="G76" s="70">
        <v>16</v>
      </c>
      <c r="H76" s="70"/>
      <c r="I76" s="70"/>
      <c r="J76" s="70"/>
      <c r="K76" s="69">
        <v>800</v>
      </c>
    </row>
    <row r="77" spans="2:13" ht="41.4" hidden="1">
      <c r="C77" s="64" t="s">
        <v>43</v>
      </c>
      <c r="D77" s="64"/>
      <c r="E77" s="64"/>
      <c r="F77" s="69">
        <v>20000</v>
      </c>
      <c r="G77" s="70"/>
      <c r="H77" s="70"/>
      <c r="I77" s="70"/>
      <c r="J77" s="70"/>
      <c r="K77" s="69">
        <v>2200</v>
      </c>
    </row>
    <row r="78" spans="2:13" ht="41.4" hidden="1">
      <c r="C78" s="64" t="s">
        <v>44</v>
      </c>
      <c r="D78" s="64"/>
      <c r="E78" s="64"/>
      <c r="F78" s="69">
        <v>5000</v>
      </c>
      <c r="G78" s="70">
        <v>17</v>
      </c>
      <c r="H78" s="70"/>
      <c r="I78" s="70"/>
      <c r="J78" s="70"/>
      <c r="K78" s="70">
        <v>850</v>
      </c>
    </row>
    <row r="79" spans="2:13" ht="41.4" hidden="1">
      <c r="C79" s="64" t="s">
        <v>43</v>
      </c>
      <c r="D79" s="64"/>
      <c r="E79" s="64"/>
      <c r="F79" s="69">
        <v>25000</v>
      </c>
      <c r="G79" s="73"/>
      <c r="H79" s="73"/>
      <c r="I79" s="73"/>
      <c r="J79" s="73"/>
      <c r="K79" s="74">
        <v>3050</v>
      </c>
    </row>
    <row r="80" spans="2:13" ht="41.4" hidden="1">
      <c r="C80" s="64" t="s">
        <v>44</v>
      </c>
      <c r="D80" s="64"/>
      <c r="E80" s="64"/>
      <c r="F80" s="69">
        <v>10000</v>
      </c>
      <c r="G80" s="74">
        <v>20</v>
      </c>
      <c r="H80" s="74"/>
      <c r="I80" s="74"/>
      <c r="J80" s="74"/>
      <c r="K80" s="74">
        <v>2000</v>
      </c>
    </row>
    <row r="81" spans="1:18" ht="41.4" hidden="1">
      <c r="C81" s="64" t="s">
        <v>43</v>
      </c>
      <c r="D81" s="64"/>
      <c r="E81" s="64"/>
      <c r="F81" s="69">
        <v>35000</v>
      </c>
      <c r="G81" s="74"/>
      <c r="H81" s="74"/>
      <c r="I81" s="74"/>
      <c r="J81" s="74"/>
      <c r="K81" s="74">
        <v>5050</v>
      </c>
    </row>
    <row r="82" spans="1:18" ht="41.4" hidden="1">
      <c r="C82" s="64" t="s">
        <v>44</v>
      </c>
      <c r="D82" s="64"/>
      <c r="E82" s="64"/>
      <c r="F82" s="69">
        <v>15000</v>
      </c>
      <c r="G82" s="74">
        <v>27</v>
      </c>
      <c r="H82" s="74"/>
      <c r="I82" s="74"/>
      <c r="J82" s="74"/>
      <c r="K82" s="74">
        <v>4050</v>
      </c>
    </row>
    <row r="83" spans="1:18" ht="41.4" hidden="1">
      <c r="C83" s="64" t="s">
        <v>43</v>
      </c>
      <c r="D83" s="64"/>
      <c r="E83" s="64"/>
      <c r="F83" s="69">
        <v>50000</v>
      </c>
      <c r="G83" s="74"/>
      <c r="H83" s="74"/>
      <c r="I83" s="74"/>
      <c r="J83" s="74"/>
      <c r="K83" s="74">
        <v>9100</v>
      </c>
    </row>
    <row r="84" spans="1:18" ht="41.4" hidden="1">
      <c r="C84" s="64" t="s">
        <v>44</v>
      </c>
      <c r="D84" s="64"/>
      <c r="E84" s="64"/>
      <c r="F84" s="69">
        <v>50000</v>
      </c>
      <c r="G84" s="74">
        <v>34</v>
      </c>
      <c r="H84" s="74"/>
      <c r="I84" s="74"/>
      <c r="J84" s="74"/>
      <c r="K84" s="74">
        <v>17000</v>
      </c>
    </row>
    <row r="85" spans="1:18" ht="41.4" hidden="1">
      <c r="C85" s="64" t="s">
        <v>43</v>
      </c>
      <c r="D85" s="64"/>
      <c r="E85" s="64"/>
      <c r="F85" s="69">
        <v>100000</v>
      </c>
      <c r="G85" s="74"/>
      <c r="H85" s="74"/>
      <c r="I85" s="74"/>
      <c r="J85" s="74"/>
      <c r="K85" s="74">
        <v>26100</v>
      </c>
    </row>
    <row r="86" spans="1:18" ht="27.6" hidden="1">
      <c r="C86" s="64" t="s">
        <v>45</v>
      </c>
      <c r="D86" s="64"/>
      <c r="E86" s="64"/>
      <c r="F86" s="69">
        <v>100000</v>
      </c>
      <c r="G86" s="74">
        <v>37</v>
      </c>
      <c r="H86" s="74"/>
      <c r="I86" s="74"/>
      <c r="J86" s="74"/>
      <c r="K86" s="75"/>
    </row>
    <row r="87" spans="1:18" hidden="1">
      <c r="A87" s="76"/>
      <c r="B87" s="76"/>
      <c r="C87" s="76"/>
      <c r="D87" s="76"/>
      <c r="E87" s="76"/>
      <c r="F87" s="76"/>
      <c r="G87" s="76"/>
      <c r="H87" s="76"/>
      <c r="I87" s="76"/>
      <c r="J87" s="76"/>
      <c r="K87" s="76"/>
      <c r="L87" s="76"/>
      <c r="M87" s="76"/>
      <c r="N87" s="77"/>
      <c r="O87" s="76"/>
      <c r="P87" s="76"/>
      <c r="Q87" s="76"/>
      <c r="R87" s="76"/>
    </row>
    <row r="88" spans="1:18" hidden="1">
      <c r="A88" s="2" t="s">
        <v>46</v>
      </c>
    </row>
    <row r="89" spans="1:18" ht="13.8" hidden="1">
      <c r="A89" s="78" t="s">
        <v>48</v>
      </c>
      <c r="B89" s="79"/>
      <c r="C89" s="80">
        <f>IF(B32&lt;&gt;"",0,IF(B34="Yes",IF(OR(L29-O45&lt;0,N20=K130)=TRUE,0,L29-O45),IF(OR(B33="Yes",B35="Yes")=TRUE,IF(L29-O45&lt;0,0,L29-O45),0)))</f>
        <v>0</v>
      </c>
      <c r="D89" s="81"/>
      <c r="E89" s="81"/>
      <c r="K89" s="101"/>
      <c r="L89" s="101"/>
      <c r="M89" s="101"/>
    </row>
    <row r="90" spans="1:18" ht="13.8" hidden="1">
      <c r="A90" s="78" t="s">
        <v>49</v>
      </c>
      <c r="B90" s="82" t="s">
        <v>51</v>
      </c>
      <c r="C90" s="80">
        <f>IF(OR(C89&gt;15000,C89=0)=TRUE,0,IF(C89&lt;2500,C89,IF(C89&lt;5000,2500,IF(C89&lt;7500,5000,IF(C89&lt;10000,7500,10000)))))</f>
        <v>0</v>
      </c>
      <c r="D90" s="81"/>
      <c r="E90" s="81"/>
      <c r="K90" s="102"/>
      <c r="L90" s="103"/>
      <c r="M90" s="104"/>
    </row>
    <row r="91" spans="1:18" ht="13.8" hidden="1">
      <c r="A91" s="78" t="s">
        <v>49</v>
      </c>
      <c r="B91" s="82" t="s">
        <v>52</v>
      </c>
      <c r="C91" s="80">
        <f>IF(OR(C90&lt;&gt;0,C89=0)=TRUE,0,IF(C89&lt;20000,15000,IF(C89&lt;25000,20000,IF(C89&lt;35000,25000,IF(C89&lt;50000,35000,IF(C89&lt;100000,50000,100000))))))</f>
        <v>0</v>
      </c>
      <c r="D91" s="81"/>
      <c r="E91" s="81"/>
      <c r="K91" s="102"/>
      <c r="L91" s="103"/>
      <c r="M91" s="104"/>
    </row>
    <row r="92" spans="1:18" ht="13.8" hidden="1">
      <c r="A92" s="78" t="s">
        <v>53</v>
      </c>
      <c r="B92" s="82"/>
      <c r="C92" s="80">
        <f>SUM(C90:C91)</f>
        <v>0</v>
      </c>
      <c r="D92" s="81"/>
      <c r="E92" s="81"/>
      <c r="K92" s="102"/>
      <c r="L92" s="102"/>
      <c r="M92" s="104"/>
    </row>
    <row r="93" spans="1:18" ht="13.8" hidden="1">
      <c r="A93" s="78" t="s">
        <v>54</v>
      </c>
      <c r="B93" s="82"/>
      <c r="C93" s="80">
        <f>IF(C92=0,0,IF(C92&lt;2500,C89,VLOOKUP(C92,s40taxrates,2,FALSE)))</f>
        <v>0</v>
      </c>
      <c r="D93" s="81"/>
      <c r="E93" s="81"/>
      <c r="K93" s="102"/>
      <c r="L93" s="102"/>
      <c r="M93" s="104"/>
    </row>
    <row r="94" spans="1:18" ht="13.8" hidden="1">
      <c r="A94" s="78" t="s">
        <v>55</v>
      </c>
      <c r="B94" s="82"/>
      <c r="C94" s="80">
        <f>IF(C92=0,0,C89-C92)</f>
        <v>0</v>
      </c>
      <c r="D94" s="81"/>
      <c r="E94" s="81"/>
      <c r="K94" s="102"/>
      <c r="L94" s="102"/>
      <c r="M94" s="104"/>
    </row>
    <row r="95" spans="1:18" ht="26.4" hidden="1">
      <c r="A95" s="78" t="s">
        <v>56</v>
      </c>
      <c r="B95" s="82"/>
      <c r="C95" s="84">
        <f>IF(C92=0,0,IF(C92&lt;2500,0.04,VLOOKUP(C92,s40taxrates,3,FALSE)))</f>
        <v>0</v>
      </c>
      <c r="D95" s="85"/>
      <c r="E95" s="85"/>
      <c r="K95" s="102"/>
      <c r="L95" s="102"/>
      <c r="M95" s="104"/>
    </row>
    <row r="96" spans="1:18" ht="13.8" hidden="1">
      <c r="A96" s="78" t="s">
        <v>57</v>
      </c>
      <c r="B96" s="82"/>
      <c r="C96" s="80">
        <f>C94*C95</f>
        <v>0</v>
      </c>
      <c r="D96" s="81"/>
      <c r="E96" s="81"/>
      <c r="K96" s="102"/>
      <c r="L96" s="106"/>
      <c r="M96" s="107"/>
    </row>
    <row r="97" spans="1:14" ht="13.8" hidden="1">
      <c r="A97" s="78" t="s">
        <v>58</v>
      </c>
      <c r="B97" s="82"/>
      <c r="C97" s="80">
        <f>IF(B34="Yes",IF(OR(L20="",L20=0)=TRUE,0,C99/L29)*(C93+C96),(C93+C96))</f>
        <v>0</v>
      </c>
      <c r="D97" s="81"/>
      <c r="E97" s="81"/>
      <c r="K97" s="102"/>
      <c r="L97" s="106"/>
      <c r="M97" s="107"/>
    </row>
    <row r="98" spans="1:14" ht="13.8" hidden="1">
      <c r="A98" s="87"/>
      <c r="B98" s="88"/>
      <c r="C98" s="88"/>
      <c r="D98" s="88"/>
      <c r="E98" s="88"/>
      <c r="K98" s="102"/>
      <c r="L98" s="106"/>
      <c r="M98" s="107"/>
    </row>
    <row r="99" spans="1:14" ht="13.8" hidden="1">
      <c r="A99" s="2" t="s">
        <v>59</v>
      </c>
      <c r="C99" s="89">
        <f>IF(B34="yes",R24,R23)</f>
        <v>0</v>
      </c>
      <c r="D99" s="89"/>
      <c r="E99" s="89"/>
      <c r="K99" s="102"/>
      <c r="L99" s="106"/>
      <c r="M99" s="107"/>
    </row>
    <row r="100" spans="1:14" hidden="1"/>
    <row r="101" spans="1:14" hidden="1"/>
    <row r="102" spans="1:14" hidden="1">
      <c r="A102" s="2" t="s">
        <v>60</v>
      </c>
      <c r="C102" s="2">
        <f>IF(B32&lt;&gt;"",0,IF(L10+L11+L13-L15&lt;=0,0,IF(O15-O45-P15&lt;=0,0,((O15-P15)-O45))))</f>
        <v>0</v>
      </c>
    </row>
    <row r="103" spans="1:14" ht="13.8" hidden="1">
      <c r="A103" s="78" t="s">
        <v>49</v>
      </c>
      <c r="B103" s="82"/>
      <c r="C103" s="80">
        <f>IF(C102&lt;=160000,H103,I103)</f>
        <v>20000</v>
      </c>
      <c r="D103" s="81"/>
      <c r="E103" s="81"/>
      <c r="H103" s="2">
        <f>IF(C102&lt;=160000,IF(C102&lt;30000,20000,IF(C102&lt;40000,30000,IF(C102&lt;80000,40000,IF(C102&lt;120000,80000,IF(C102&lt;160000,12000,160000))))),0)</f>
        <v>20000</v>
      </c>
      <c r="I103" s="2">
        <f>IF(C102&gt;160000,IF(C102&lt;200000,160000,IF(C102&lt;240000,200000,IF(C102&lt;280000,240000,IF(C102&lt;320000,280000,IF(C102&lt;500000,320000,IF(C102&lt;1000000,500000,1000000)))))),0)</f>
        <v>0</v>
      </c>
      <c r="K103" s="101"/>
      <c r="L103" s="101"/>
      <c r="M103" s="101"/>
    </row>
    <row r="104" spans="1:14" ht="13.8" hidden="1">
      <c r="A104" s="78" t="s">
        <v>54</v>
      </c>
      <c r="B104" s="82"/>
      <c r="C104" s="80">
        <f>IF(C103&lt;20000,0,VLOOKUP(C103,residenttax,2,FALSE))</f>
        <v>0</v>
      </c>
      <c r="D104" s="81"/>
      <c r="E104" s="81"/>
      <c r="K104" s="102"/>
      <c r="L104" s="103"/>
      <c r="M104" s="104"/>
    </row>
    <row r="105" spans="1:14" ht="13.8" hidden="1">
      <c r="A105" s="78" t="s">
        <v>55</v>
      </c>
      <c r="B105" s="82"/>
      <c r="C105" s="80">
        <f>IF(C103=0,0,C102-C103)</f>
        <v>-20000</v>
      </c>
      <c r="D105" s="81"/>
      <c r="E105" s="81"/>
      <c r="K105" s="102"/>
      <c r="L105" s="103"/>
      <c r="M105" s="104"/>
    </row>
    <row r="106" spans="1:14" ht="26.4" hidden="1">
      <c r="A106" s="78" t="s">
        <v>56</v>
      </c>
      <c r="B106" s="82"/>
      <c r="C106" s="84">
        <f>IF(C103&lt;20000,0,VLOOKUP(C103,residenttax,3,FALSE))</f>
        <v>0.02</v>
      </c>
      <c r="D106" s="85"/>
      <c r="E106" s="85"/>
      <c r="K106" s="102"/>
      <c r="L106" s="102"/>
      <c r="M106" s="104"/>
    </row>
    <row r="107" spans="1:14" ht="13.8" hidden="1">
      <c r="A107" s="78" t="s">
        <v>57</v>
      </c>
      <c r="B107" s="82"/>
      <c r="C107" s="80">
        <f>C105*C106</f>
        <v>-400</v>
      </c>
      <c r="D107" s="81"/>
      <c r="E107" s="81"/>
      <c r="K107" s="102"/>
      <c r="L107" s="102"/>
      <c r="M107" s="104"/>
    </row>
    <row r="108" spans="1:14" ht="13.8" hidden="1">
      <c r="A108" s="78" t="s">
        <v>61</v>
      </c>
      <c r="B108" s="82"/>
      <c r="C108" s="80">
        <f>IF(taxrebateamt&gt;0,IF((C104+C107)*balancetaxrebatepercent&gt;taxrebateamt,(C104+C107)-taxrebateamt,(C104+C107)*taxrebatepercent),C104+C107)</f>
        <v>-400</v>
      </c>
      <c r="D108" s="80"/>
      <c r="E108" s="80"/>
      <c r="F108" s="80">
        <f>IF(C102=0,0,(L12+(SUM(L20:M23))-P23)*OthersNRtaxrates)</f>
        <v>0</v>
      </c>
      <c r="G108" s="80">
        <f>C108+F108</f>
        <v>-400</v>
      </c>
      <c r="H108" s="80"/>
      <c r="I108" s="80"/>
      <c r="J108" s="100"/>
      <c r="K108" s="102"/>
      <c r="L108" s="102"/>
      <c r="M108" s="104"/>
    </row>
    <row r="109" spans="1:14" ht="13.8" hidden="1">
      <c r="A109" s="87" t="s">
        <v>62</v>
      </c>
      <c r="B109" s="88"/>
      <c r="C109" s="90">
        <f>IF(B32="",IF(COUNTIF(B33:B35,"Yes")=0,((O15-P15)*EmptNRtaxates)+((O23-P23)*OthersNRtaxrates),IF(B34="",IF(OR(C97&gt;C110,((L29*OthersNRtaxrates)-C97)&lt;=0)=TRUE,0,(L29*OthersNRtaxrates)-C97),IF(((C99*OthersNRtaxrates)-C97)&lt;=0,0,(C99*OthersNRtaxrates)-C97))),0)</f>
        <v>0</v>
      </c>
      <c r="D109" s="90"/>
      <c r="E109" s="90"/>
      <c r="F109" s="2" t="str">
        <f>IF(B32="",IF(OR(COUNTIF(B33:B35,"Yes")=0,C109=0)=TRUE,K129,K128))</f>
        <v>Normal Non Resident</v>
      </c>
      <c r="K109" s="102"/>
      <c r="L109" s="102"/>
      <c r="M109" s="104"/>
    </row>
    <row r="110" spans="1:14" ht="13.8" hidden="1">
      <c r="A110" s="87" t="s">
        <v>63</v>
      </c>
      <c r="B110" s="88"/>
      <c r="C110" s="90">
        <f>((O15-P15)*EmptNRtaxates)+((O23-P23)*OthersNRtaxrates)</f>
        <v>0</v>
      </c>
      <c r="D110" s="90"/>
      <c r="E110" s="90"/>
      <c r="K110" s="99"/>
      <c r="L110" s="99"/>
      <c r="M110" s="104"/>
      <c r="N110" s="105"/>
    </row>
    <row r="111" spans="1:14" ht="26.4" hidden="1">
      <c r="A111" s="91" t="s">
        <v>64</v>
      </c>
      <c r="B111" s="89">
        <f>IF(B32&lt;&gt;"",0,IF(COUNTIF(B33:B35,"Yes")&gt;0,IF(B34="Yes",IF(C97&gt;(L20*OthersNRtaxrates),C110,IF(L20&lt;=0,C110,C97)),IF(C97&gt;C110,C110,C97)),IF(C108&gt;C110,G108,C110)))</f>
        <v>0</v>
      </c>
      <c r="C111" s="2" t="str">
        <f>IF(L29=0,"",IF(COUNTIF(B33:B35,"Yes")&gt;0,IF(C109&gt;0,K128,K132),IF(B111=G108,K127,K126)))</f>
        <v/>
      </c>
    </row>
    <row r="112" spans="1:14" hidden="1"/>
    <row r="113" spans="11:13" ht="13.8" hidden="1">
      <c r="K113" s="102"/>
      <c r="L113" s="102"/>
      <c r="M113" s="104"/>
    </row>
    <row r="114" spans="11:13" ht="13.8" hidden="1">
      <c r="K114" s="102"/>
      <c r="L114" s="102"/>
      <c r="M114" s="104"/>
    </row>
    <row r="115" spans="11:13" hidden="1"/>
    <row r="116" spans="11:13" hidden="1"/>
    <row r="117" spans="11:13" hidden="1"/>
    <row r="118" spans="11:13" hidden="1">
      <c r="K118" s="92" t="s">
        <v>68</v>
      </c>
    </row>
    <row r="119" spans="11:13" ht="41.4" hidden="1">
      <c r="K119" s="93" t="s">
        <v>69</v>
      </c>
    </row>
    <row r="120" spans="11:13" ht="13.8" hidden="1">
      <c r="K120" s="93" t="s">
        <v>70</v>
      </c>
    </row>
    <row r="121" spans="11:13" ht="55.2" hidden="1">
      <c r="K121" s="93" t="s">
        <v>71</v>
      </c>
    </row>
    <row r="122" spans="11:13" ht="69" hidden="1">
      <c r="K122" s="93" t="s">
        <v>72</v>
      </c>
    </row>
    <row r="123" spans="11:13" ht="124.2" hidden="1">
      <c r="K123" s="93" t="s">
        <v>92</v>
      </c>
    </row>
    <row r="124" spans="11:13" ht="82.8" hidden="1">
      <c r="K124" s="93" t="s">
        <v>73</v>
      </c>
    </row>
    <row r="125" spans="11:13" ht="27.6" hidden="1">
      <c r="K125" s="93" t="s">
        <v>74</v>
      </c>
    </row>
    <row r="126" spans="11:13" ht="41.4" hidden="1">
      <c r="K126" s="93" t="s">
        <v>75</v>
      </c>
    </row>
    <row r="127" spans="11:13" ht="55.2" hidden="1">
      <c r="K127" s="93" t="s">
        <v>76</v>
      </c>
    </row>
    <row r="128" spans="11:13" ht="27.6" hidden="1">
      <c r="K128" s="93" t="s">
        <v>77</v>
      </c>
    </row>
    <row r="129" spans="11:11" ht="41.4" hidden="1">
      <c r="K129" s="93" t="s">
        <v>78</v>
      </c>
    </row>
    <row r="130" spans="11:11" ht="55.2" hidden="1">
      <c r="K130" s="93" t="s">
        <v>79</v>
      </c>
    </row>
    <row r="131" spans="11:11" ht="55.2" hidden="1">
      <c r="K131" s="93" t="s">
        <v>80</v>
      </c>
    </row>
    <row r="132" spans="11:11" ht="41.4" hidden="1">
      <c r="K132" s="93" t="s">
        <v>81</v>
      </c>
    </row>
    <row r="133" spans="11:11" ht="69" hidden="1">
      <c r="K133" s="93" t="s">
        <v>82</v>
      </c>
    </row>
    <row r="134" spans="11:11" ht="110.4" hidden="1">
      <c r="K134" s="93" t="s">
        <v>83</v>
      </c>
    </row>
    <row r="135" spans="11:11" ht="41.4" hidden="1">
      <c r="K135" s="93" t="s">
        <v>84</v>
      </c>
    </row>
    <row r="136" spans="11:11" ht="41.4" hidden="1">
      <c r="K136" s="93" t="s">
        <v>85</v>
      </c>
    </row>
    <row r="137" spans="11:11" ht="158.4" hidden="1">
      <c r="K137" s="94" t="s">
        <v>93</v>
      </c>
    </row>
    <row r="138" spans="11:11" hidden="1"/>
    <row r="139" spans="11:11" hidden="1"/>
  </sheetData>
  <sheetProtection algorithmName="SHA-512" hashValue="dDKDmvbhnU9gW0I7E1Twjv38ch6Hlz31j0G2nP3iWRX+Eg8k4gVsFGhhnsS9b6bAVuD3StL18NFTw4KJVkoAfQ==" saltValue="dpIPGDDGZdANA6VAMMoOyQ==" spinCount="100000" sheet="1"/>
  <mergeCells count="74">
    <mergeCell ref="B62:M62"/>
    <mergeCell ref="D15:F15"/>
    <mergeCell ref="C22:F22"/>
    <mergeCell ref="D27:F27"/>
    <mergeCell ref="B29:K29"/>
    <mergeCell ref="C42:H42"/>
    <mergeCell ref="B54:K54"/>
    <mergeCell ref="L54:M54"/>
    <mergeCell ref="N61:O61"/>
    <mergeCell ref="H59:I59"/>
    <mergeCell ref="L56:M56"/>
    <mergeCell ref="B57:M57"/>
    <mergeCell ref="C60:F60"/>
    <mergeCell ref="L49:M49"/>
    <mergeCell ref="L50:M50"/>
    <mergeCell ref="L51:M51"/>
    <mergeCell ref="L52:M52"/>
    <mergeCell ref="L53:M53"/>
    <mergeCell ref="L46:M46"/>
    <mergeCell ref="B47:K47"/>
    <mergeCell ref="L47:M47"/>
    <mergeCell ref="L48:M48"/>
    <mergeCell ref="C45:F45"/>
    <mergeCell ref="L44:M44"/>
    <mergeCell ref="L45:M45"/>
    <mergeCell ref="C40:G40"/>
    <mergeCell ref="C41:G41"/>
    <mergeCell ref="C43:G43"/>
    <mergeCell ref="C44:G44"/>
    <mergeCell ref="L40:M40"/>
    <mergeCell ref="L41:M41"/>
    <mergeCell ref="L42:M42"/>
    <mergeCell ref="L43:M43"/>
    <mergeCell ref="G38:I38"/>
    <mergeCell ref="N26:O26"/>
    <mergeCell ref="L27:M27"/>
    <mergeCell ref="L28:M28"/>
    <mergeCell ref="N28:O28"/>
    <mergeCell ref="L29:M29"/>
    <mergeCell ref="P23:Q23"/>
    <mergeCell ref="L24:M24"/>
    <mergeCell ref="P24:Q24"/>
    <mergeCell ref="B25:K25"/>
    <mergeCell ref="L25:M25"/>
    <mergeCell ref="N25:O25"/>
    <mergeCell ref="L21:M21"/>
    <mergeCell ref="N21:O21"/>
    <mergeCell ref="L22:M22"/>
    <mergeCell ref="N22:O22"/>
    <mergeCell ref="L23:M23"/>
    <mergeCell ref="L18:M18"/>
    <mergeCell ref="N18:O18"/>
    <mergeCell ref="L19:M19"/>
    <mergeCell ref="N19:O19"/>
    <mergeCell ref="L20:M20"/>
    <mergeCell ref="N20:O20"/>
    <mergeCell ref="P15:Q15"/>
    <mergeCell ref="L16:M16"/>
    <mergeCell ref="N16:O16"/>
    <mergeCell ref="B17:K17"/>
    <mergeCell ref="L17:M17"/>
    <mergeCell ref="N17:O17"/>
    <mergeCell ref="L12:M12"/>
    <mergeCell ref="L13:M13"/>
    <mergeCell ref="N13:O13"/>
    <mergeCell ref="N14:O14"/>
    <mergeCell ref="L15:M15"/>
    <mergeCell ref="L11:M11"/>
    <mergeCell ref="B2:M2"/>
    <mergeCell ref="B4:M4"/>
    <mergeCell ref="L8:M8"/>
    <mergeCell ref="L9:M9"/>
    <mergeCell ref="L10:M10"/>
    <mergeCell ref="B3:M3"/>
  </mergeCells>
  <conditionalFormatting sqref="C89:E98">
    <cfRule type="expression" dxfId="2" priority="1" stopIfTrue="1">
      <formula>ISERROR($F$84)</formula>
    </cfRule>
  </conditionalFormatting>
  <conditionalFormatting sqref="C103:E108 F108:J108">
    <cfRule type="expression" dxfId="1" priority="2" stopIfTrue="1">
      <formula>ISERROR($F$83)</formula>
    </cfRule>
  </conditionalFormatting>
  <conditionalFormatting sqref="L47:M47 L49:M49 L51:M51 L54:M55">
    <cfRule type="cellIs" dxfId="0" priority="3" stopIfTrue="1" operator="equal">
      <formula>$K$120</formula>
    </cfRule>
  </conditionalFormatting>
  <dataValidations count="14">
    <dataValidation type="whole" allowBlank="1" showInputMessage="1" showErrorMessage="1" error="No decimal point allowed" sqref="L27:M27" xr:uid="{50AF624E-91BC-4CD4-8739-22C71A7E4188}">
      <formula1>0</formula1>
      <formula2>9.99999999999999E+31</formula2>
    </dataValidation>
    <dataValidation type="whole" allowBlank="1" showInputMessage="1" showErrorMessage="1" error="No decimal point allowed" sqref="L22:M22" xr:uid="{4ADCB35B-89FF-4EB9-84A6-EAE1195D088C}">
      <formula1>0</formula1>
      <formula2>9.99999999999999E+30</formula2>
    </dataValidation>
    <dataValidation type="whole" allowBlank="1" showInputMessage="1" showErrorMessage="1" error="No decimal point allowed" sqref="L21:M21" xr:uid="{7ADB0A79-9166-4E35-A980-5E5F0D59D79A}">
      <formula1>0</formula1>
      <formula2>9.99999999999999E+32</formula2>
    </dataValidation>
    <dataValidation type="whole" allowBlank="1" showInputMessage="1" showErrorMessage="1" error="No decimal point allowed" sqref="L12:M13" xr:uid="{4E2D5C79-864D-49A8-A273-2CAAD895C578}">
      <formula1>0</formula1>
      <formula2>9.99999999999999E+25</formula2>
    </dataValidation>
    <dataValidation type="whole" allowBlank="1" showInputMessage="1" showErrorMessage="1" error="No decimal point allowed" sqref="L11:M11 L15:M15" xr:uid="{F4D1510E-7859-4709-ACE8-3EAE1D54E950}">
      <formula1>0</formula1>
      <formula2>9.99999999999999E+29</formula2>
    </dataValidation>
    <dataValidation type="whole" allowBlank="1" showInputMessage="1" showErrorMessage="1" error="No decimal point allowed" sqref="L10:M10 L20:M20 L23:M23" xr:uid="{40E6BDE2-BB38-4F9C-953C-4CC8C9C252AB}">
      <formula1>0</formula1>
      <formula2>9.99999999999999E+28</formula2>
    </dataValidation>
    <dataValidation type="list" allowBlank="1" showInputMessage="1" showErrorMessage="1" sqref="B33:B35" xr:uid="{C85355E2-02B8-415F-B353-EA1C0D4DD54B}">
      <formula1>"Yes, No"</formula1>
    </dataValidation>
    <dataValidation type="whole" allowBlank="1" showInputMessage="1" showErrorMessage="1" sqref="L43:M43" xr:uid="{89055D3C-3395-4585-899E-17752CA4C993}">
      <formula1>0</formula1>
      <formula2>500000</formula2>
    </dataValidation>
    <dataValidation type="whole" allowBlank="1" showInputMessage="1" showErrorMessage="1" error="Qualifying child relief (QCR) _x000a_- Enter $4,000 per child per child_x000a__x000a_Handicapped child Relief (HCR) _x000a_-  Enter $5,500 per handicapped child" sqref="L42:M42" xr:uid="{6D347D87-454A-4062-8320-15D35BCB0C4F}">
      <formula1>4000</formula1>
      <formula2>10000000000</formula2>
    </dataValidation>
    <dataValidation type="list" allowBlank="1" showInputMessage="1" showErrorMessage="1" sqref="L41:M41" xr:uid="{E4A33C6E-AA30-4093-A56D-220C211CDEAC}">
      <formula1>"2000,5500"</formula1>
    </dataValidation>
    <dataValidation type="list" allowBlank="1" showInputMessage="1" showErrorMessage="1" sqref="L40:M40" xr:uid="{AFEEBE0B-9078-4B5F-BA74-47FDDC0607CC}">
      <formula1>"1000,4000,6000,8000,10000,12000"</formula1>
    </dataValidation>
    <dataValidation type="whole" allowBlank="1" showInputMessage="1" showErrorMessage="1" sqref="L52:M52" xr:uid="{EFA9F62B-420E-431A-877B-67F63DA33553}">
      <formula1>0</formula1>
      <formula2>9.99999999999999E+22</formula2>
    </dataValidation>
    <dataValidation type="whole" allowBlank="1" showInputMessage="1" showErrorMessage="1" sqref="L45:M45" xr:uid="{662BD000-A57A-4107-B9D2-9C9A5AE12C13}">
      <formula1>0</formula1>
      <formula2>5000</formula2>
    </dataValidation>
    <dataValidation type="whole" allowBlank="1" showInputMessage="1" showErrorMessage="1" sqref="L44:M44" xr:uid="{EDA635C9-5471-4E6C-B6C1-C6BD133BDA4B}">
      <formula1>0</formula1>
      <formula2>9.99999999999999E+21</formula2>
    </dataValidation>
  </dataValidations>
  <hyperlinks>
    <hyperlink ref="D15" r:id="rId1" display="Employment expenses" xr:uid="{7B8A0A4D-95BA-41C5-B645-816ADB6AF281}"/>
    <hyperlink ref="D27" r:id="rId2" xr:uid="{0CAA86C5-2748-46D2-AAF6-9240221E7F52}"/>
    <hyperlink ref="C44" r:id="rId3" display="CPF/provident fund relief" xr:uid="{1C11E049-333C-4FA6-8EF0-3FB8198F0E70}"/>
    <hyperlink ref="G31" r:id="rId4" location="title7" xr:uid="{ACCE96A4-87C3-46BD-A5DC-669253C8B752}"/>
    <hyperlink ref="C51" r:id="rId5" location="title7" xr:uid="{40A8F42D-01E1-463C-987F-72619E48ADDB}"/>
    <hyperlink ref="K137" r:id="rId6" xr:uid="{0D3F8459-4CE8-4F47-9221-882AE725278E}"/>
    <hyperlink ref="B10:B13" r:id="rId7" display="Salary " xr:uid="{79E48052-E68C-4683-8900-E5D6C5B43586}"/>
    <hyperlink ref="C20" r:id="rId8" xr:uid="{DCD9CF4C-214C-402D-A548-85241D1DFFB0}"/>
    <hyperlink ref="C21" r:id="rId9" xr:uid="{BE79A185-06F1-420D-8F96-246CE91B4D0D}"/>
    <hyperlink ref="C22" r:id="rId10" xr:uid="{0EB267C6-C060-49E2-8253-7551C1BB7320}"/>
    <hyperlink ref="C23" r:id="rId11" xr:uid="{CA491652-8325-4C25-A150-DBA2B4AAB12B}"/>
    <hyperlink ref="C40" r:id="rId12" display="Earned income relief" xr:uid="{297AA292-9411-493B-B60F-811698A24A02}"/>
    <hyperlink ref="C45" r:id="rId13" display="Life insurance relief" xr:uid="{1DD6C2E7-16CB-44A9-9284-DC13C0B6C9B6}"/>
    <hyperlink ref="C42" r:id="rId14" display="Qualifying/handicapped child relief" xr:uid="{F2BB9088-1885-43D1-9C51-C40CF00F40FF}"/>
    <hyperlink ref="H59" r:id="rId15" display="progressive resident rates " xr:uid="{E87F694B-718A-4C1B-87FD-EC900BD35BEC}"/>
    <hyperlink ref="G38" r:id="rId16" location="title2" display="progressive resident rates)" xr:uid="{0BBA747B-7712-4234-828E-378E70BC335E}"/>
    <hyperlink ref="B10" r:id="rId17" xr:uid="{A8A62DA5-F595-4CDE-8A6E-4AA59B578DC1}"/>
    <hyperlink ref="B11" r:id="rId18" xr:uid="{D2D76DB4-684F-4773-A83A-B6A2B1A33121}"/>
    <hyperlink ref="B12" r:id="rId19" xr:uid="{793F675C-90F1-45B1-BFE3-653D8898FEF9}"/>
    <hyperlink ref="B13" r:id="rId20" xr:uid="{55F78275-4442-4693-A789-6D8371C5AF12}"/>
    <hyperlink ref="C41" r:id="rId21" display="Spouse/handicapped spouse relief" xr:uid="{0D9EEE51-2B5D-42A4-A4C6-FA5A4C5E85DC}"/>
    <hyperlink ref="C43" r:id="rId22" display="Working mother's child relief" xr:uid="{0D4A1967-8F9F-4BEB-9971-C80AA71F3216}"/>
    <hyperlink ref="D23" r:id="rId23" xr:uid="{28D7AF98-FB16-4074-A3AB-99A08FB6A3AB}"/>
    <hyperlink ref="E23" r:id="rId24" xr:uid="{4E6BB8BF-CB5E-4E67-93B0-CEC753A37EB8}"/>
    <hyperlink ref="H59:I59" r:id="rId25" display="https://www.iras.gov.sg/taxes/individual-income-tax/basics-of-individual-income-tax/tax-residency-and-tax-rates/individual-income-tax-rates" xr:uid="{0E3812E8-F1A2-4E21-AB51-71516F04418F}"/>
    <hyperlink ref="D15:F15" r:id="rId26" display="Employment expenses" xr:uid="{BB9D035A-E1CE-4FDC-B15A-07EDE50364A1}"/>
    <hyperlink ref="C22:F22" r:id="rId27" display="Rent &amp; Other Income from Property" xr:uid="{810223B8-09E1-43A1-8649-1B7E924E8CD0}"/>
    <hyperlink ref="D27:F27" r:id="rId28" display="Approved Donations" xr:uid="{7407606D-96F0-46B9-9475-AB36667AB72E}"/>
    <hyperlink ref="G38:I38" r:id="rId29" display="https://www.iras.gov.sg/taxes/individual-income-tax/basics-of-individual-income-tax/tax-residency-and-tax-rates/individual-income-tax-rates" xr:uid="{424AEC70-FD38-4979-A063-F4893A189701}"/>
    <hyperlink ref="C40:E40" r:id="rId30" display="Earned Income Relief" xr:uid="{EFA68D6B-6E08-468D-A85A-2FF5FA0AF49F}"/>
    <hyperlink ref="C41:F41" r:id="rId31" display="Spouse Relief/ Spouse Relief (Disability)" xr:uid="{83ACFA69-7B9D-4176-9771-57C012E2283D}"/>
    <hyperlink ref="C42:F42" r:id="rId32" display="Qualifying Child Relief (QCR)/ Child Relief (Disability)" xr:uid="{798B7705-F18B-4B81-9715-613E87185185}"/>
    <hyperlink ref="C43:F43" r:id="rId33" display="Working Mother's Child Relief (WMCR)" xr:uid="{237C1AF6-E704-43CD-82AE-1FEAE1E88C89}"/>
    <hyperlink ref="C44:F44" r:id="rId34" display="CPF/provident fund relief" xr:uid="{240F4616-CBCD-41D5-B0E0-738473575AD1}"/>
    <hyperlink ref="C45:E45" r:id="rId35" display="Life insurance relief" xr:uid="{36DB59FC-1653-4791-9345-62FCA8351CBD}"/>
  </hyperlinks>
  <printOptions horizontalCentered="1" verticalCentered="1"/>
  <pageMargins left="0.25" right="0.25" top="0.75" bottom="0.75" header="0.3" footer="0.3"/>
  <rowBreaks count="1" manualBreakCount="1">
    <brk id="86" max="12" man="1"/>
  </rowBreaks>
  <colBreaks count="1" manualBreakCount="1">
    <brk id="15" max="1048575" man="1"/>
  </colBreaks>
  <legacyDrawing r:id="rId3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2CA9A-2412-4E3A-95C1-ACF1CF83C476}">
  <sheetPr codeName="Sheet2"/>
  <dimension ref="A1:M16"/>
  <sheetViews>
    <sheetView zoomScaleNormal="100" workbookViewId="0">
      <selection activeCell="F32" sqref="F32"/>
    </sheetView>
  </sheetViews>
  <sheetFormatPr defaultRowHeight="13.2"/>
  <cols>
    <col min="1" max="1" width="9.5546875" bestFit="1" customWidth="1"/>
    <col min="13" max="13" width="18.88671875" bestFit="1" customWidth="1"/>
  </cols>
  <sheetData>
    <row r="1" spans="1:13">
      <c r="A1" t="s">
        <v>88</v>
      </c>
      <c r="F1" s="2" t="s">
        <v>47</v>
      </c>
      <c r="G1" s="2"/>
      <c r="H1" s="2"/>
      <c r="J1" s="2" t="s">
        <v>65</v>
      </c>
      <c r="K1" s="2"/>
      <c r="L1" s="2"/>
      <c r="M1" t="s">
        <v>89</v>
      </c>
    </row>
    <row r="2" spans="1:13" ht="27.6">
      <c r="A2" s="61" t="s">
        <v>49</v>
      </c>
      <c r="B2" s="61" t="s">
        <v>50</v>
      </c>
      <c r="C2" s="61" t="s">
        <v>39</v>
      </c>
      <c r="F2" s="61" t="s">
        <v>49</v>
      </c>
      <c r="G2" s="61" t="s">
        <v>50</v>
      </c>
      <c r="H2" s="61" t="s">
        <v>39</v>
      </c>
      <c r="J2" s="69" t="s">
        <v>66</v>
      </c>
      <c r="K2" s="83">
        <v>0.15</v>
      </c>
      <c r="M2" s="108">
        <v>1000</v>
      </c>
    </row>
    <row r="3" spans="1:13" ht="13.8">
      <c r="A3" s="69">
        <v>20000</v>
      </c>
      <c r="B3" s="70">
        <v>0</v>
      </c>
      <c r="C3" s="83">
        <v>0.02</v>
      </c>
      <c r="F3" s="69">
        <v>2500</v>
      </c>
      <c r="G3" s="70">
        <v>100</v>
      </c>
      <c r="H3" s="83">
        <v>0.06</v>
      </c>
      <c r="J3" s="69" t="s">
        <v>67</v>
      </c>
      <c r="K3" s="83">
        <v>0.24</v>
      </c>
      <c r="M3" s="108">
        <v>3000</v>
      </c>
    </row>
    <row r="4" spans="1:13" ht="13.8">
      <c r="A4" s="69">
        <v>30000</v>
      </c>
      <c r="B4" s="70">
        <v>200</v>
      </c>
      <c r="C4" s="83">
        <v>3.5000000000000003E-2</v>
      </c>
      <c r="F4" s="69">
        <v>5000</v>
      </c>
      <c r="G4" s="70">
        <v>250</v>
      </c>
      <c r="H4" s="83">
        <v>0.08</v>
      </c>
      <c r="M4" s="108">
        <v>4000</v>
      </c>
    </row>
    <row r="5" spans="1:13" ht="13.8">
      <c r="A5" s="69">
        <v>40000</v>
      </c>
      <c r="B5" s="69">
        <v>550</v>
      </c>
      <c r="C5" s="83">
        <v>7.0000000000000007E-2</v>
      </c>
      <c r="F5" s="69">
        <v>7500</v>
      </c>
      <c r="G5" s="69">
        <v>450</v>
      </c>
      <c r="H5" s="83">
        <v>0.1</v>
      </c>
      <c r="M5" s="108">
        <v>2000</v>
      </c>
    </row>
    <row r="6" spans="1:13" ht="13.8">
      <c r="A6" s="69">
        <v>80000</v>
      </c>
      <c r="B6" s="69">
        <v>3350</v>
      </c>
      <c r="C6" s="83">
        <v>0.115</v>
      </c>
      <c r="F6" s="69">
        <v>10000</v>
      </c>
      <c r="G6" s="69">
        <v>700</v>
      </c>
      <c r="H6" s="83">
        <v>0.14000000000000001</v>
      </c>
      <c r="M6" s="108">
        <v>5000</v>
      </c>
    </row>
    <row r="7" spans="1:13" ht="13.8">
      <c r="A7" s="69">
        <v>120000</v>
      </c>
      <c r="B7" s="69">
        <v>7950</v>
      </c>
      <c r="C7" s="83">
        <v>0.15</v>
      </c>
      <c r="F7" s="69">
        <v>15000</v>
      </c>
      <c r="G7" s="69">
        <v>1400</v>
      </c>
      <c r="H7" s="83">
        <v>0.16</v>
      </c>
      <c r="M7" s="108">
        <v>6000</v>
      </c>
    </row>
    <row r="8" spans="1:13" ht="13.8">
      <c r="A8" s="69">
        <v>160000</v>
      </c>
      <c r="B8" s="69">
        <v>13950</v>
      </c>
      <c r="C8" s="83">
        <v>0.18</v>
      </c>
      <c r="F8" s="69">
        <v>20000</v>
      </c>
      <c r="G8" s="69">
        <v>2200</v>
      </c>
      <c r="H8" s="83">
        <v>0.17</v>
      </c>
      <c r="M8" s="108"/>
    </row>
    <row r="9" spans="1:13" ht="13.8">
      <c r="A9" s="69">
        <v>200000</v>
      </c>
      <c r="B9" s="69">
        <v>21150</v>
      </c>
      <c r="C9" s="83">
        <v>0.19</v>
      </c>
      <c r="F9" s="69">
        <v>25000</v>
      </c>
      <c r="G9" s="74">
        <v>3050</v>
      </c>
      <c r="H9" s="86">
        <v>0.2</v>
      </c>
      <c r="M9" s="108"/>
    </row>
    <row r="10" spans="1:13" ht="13.8">
      <c r="A10" s="110">
        <v>240000</v>
      </c>
      <c r="B10" s="110">
        <v>28750</v>
      </c>
      <c r="C10" s="83">
        <v>0.19500000000000001</v>
      </c>
      <c r="F10" s="69">
        <v>35000</v>
      </c>
      <c r="G10" s="74">
        <v>5050</v>
      </c>
      <c r="H10" s="86">
        <v>0.27</v>
      </c>
      <c r="M10" s="108"/>
    </row>
    <row r="11" spans="1:13" ht="13.8">
      <c r="A11" s="69">
        <v>280000</v>
      </c>
      <c r="B11" s="69">
        <v>36550</v>
      </c>
      <c r="C11" s="83">
        <v>0.2</v>
      </c>
      <c r="F11" s="69">
        <v>50000</v>
      </c>
      <c r="G11" s="74">
        <v>9100</v>
      </c>
      <c r="H11" s="86">
        <v>0.34</v>
      </c>
      <c r="M11" s="108"/>
    </row>
    <row r="12" spans="1:13" ht="13.8">
      <c r="A12" s="69">
        <v>320000</v>
      </c>
      <c r="B12" s="69">
        <v>44550</v>
      </c>
      <c r="C12" s="83">
        <v>0.22</v>
      </c>
      <c r="F12" s="69">
        <v>100000</v>
      </c>
      <c r="G12" s="74">
        <v>26100</v>
      </c>
      <c r="H12" s="86">
        <v>0.37</v>
      </c>
      <c r="M12" s="108"/>
    </row>
    <row r="13" spans="1:13" ht="13.8">
      <c r="A13" s="69">
        <v>500000</v>
      </c>
      <c r="B13" s="69">
        <v>84150</v>
      </c>
      <c r="C13" s="83">
        <v>0.23</v>
      </c>
      <c r="F13" s="111"/>
      <c r="G13" s="106"/>
      <c r="H13" s="107"/>
      <c r="M13" s="108"/>
    </row>
    <row r="14" spans="1:13" ht="13.8">
      <c r="A14" s="69">
        <v>1000000</v>
      </c>
      <c r="B14" s="69">
        <v>199150</v>
      </c>
      <c r="C14" s="83">
        <v>0.24</v>
      </c>
      <c r="F14" s="111"/>
      <c r="G14" s="106"/>
      <c r="H14" s="107"/>
      <c r="M14" s="108"/>
    </row>
    <row r="15" spans="1:13">
      <c r="M15" s="108"/>
    </row>
    <row r="16" spans="1:13" ht="27.6">
      <c r="A16" s="97" t="s">
        <v>87</v>
      </c>
      <c r="B16" s="97">
        <v>0</v>
      </c>
      <c r="C16" s="83">
        <v>0</v>
      </c>
      <c r="D16" s="98">
        <f>1-C16</f>
        <v>1</v>
      </c>
    </row>
  </sheetData>
  <printOptions horizontalCentered="1" verticalCentered="1"/>
  <pageMargins left="0.7" right="0.7" top="0.75" bottom="0.75" header="0.3" footer="0.3"/>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XSV6mnjoVwHBjgcvYlzbvcZRNmbN/GncuqsX8EwAQZM=</DigestValue>
    </Reference>
    <Reference Type="http://www.w3.org/2000/09/xmldsig#Object" URI="#idOfficeObject">
      <DigestMethod Algorithm="http://www.w3.org/2001/04/xmlenc#sha256"/>
      <DigestValue>KRHQZ/Z2cpJiEvlSeuOtjM0PSTWnJ/e2l2R4Awq9Crs=</DigestValue>
    </Reference>
    <Reference Type="http://uri.etsi.org/01903#SignedProperties" URI="#idSignedProperties">
      <Transforms>
        <Transform Algorithm="http://www.w3.org/TR/2001/REC-xml-c14n-20010315"/>
      </Transforms>
      <DigestMethod Algorithm="http://www.w3.org/2001/04/xmlenc#sha256"/>
      <DigestValue>zKQkclY1SXzromnDL/kuBVj25BkxrUrFR8kiCv4PtzE=</DigestValue>
    </Reference>
  </SignedInfo>
  <SignatureValue>ryToyn/Nd/ok4wlJw2axoFD+cuAeMkwips1bMXAtjioOAaRzMqSSUrROJXzpYs06GIhwYzf2qBKG
yNBj6k8+wfKcy3Zl+ObEgjcvM8XRPZ1aKWk6yMorRJDcqRkC4gIjCl9HnHtXhC8w3Gs6474FNN2n
A8gppdmLWM5gXa4BVDuMJcly5WVpxRpsW2UWhIPF9cmxXLtEDl4/+ckJ2TdfWndF+wxMIEdIKTNd
yHaDIL38xHpZirqpbSJskH1CRJ/8hMhHjUpGxtmqWHGrw/jgdD+4cfOdtaEQh7GO4skVLVUKKZJQ
xHhJSEXoRr+ixP70+E2n1UmW8U8uTps//yrLQg==</SignatureValue>
  <KeyInfo>
    <X509Data>
      <X509Certificate>MIIFzTCCBLWgAwIBAgIQTGKEg+rE56qxhckmkvJpwTANBgkqhkiG9w0BAQsFADCBtzELMAkGA1UEBhMCVVMxFjAUBgNVBAoTDUVudHJ1c3QsIEluYy4xKDAmBgNVBAsTH1NlZSB3d3cuZW50cnVzdC5uZXQvbGVnYWwtdGVybXMxOTA3BgNVBAsTMChjKSAyMDE1IEVudHJ1c3QsIEluYy4gLSBmb3IgYXV0aG9yaXplZCB1c2Ugb25seTErMCkGA1UEAxMiRW50cnVzdCBDbGFzcyAzIENsaWVudCBDQSAtIFNIQTI1NjAeFw0yNDA1MjgwOTM2MTlaFw0yNzA3MDcwOTM2MThaMIHEMQswCQYDVQQGEwJTRzESMBAGA1UEBxMJU2luZ2Fwb3JlMS4wLAYDVQQKEyVJbmxhbmQgUmV2ZW51ZSBBdXRob3JpdHkgb2YgU2luZ2Fwb3JlMSAwHgYDVQQLExdJUkFTLSBJTkZPQ09NTSBESVZJU0lPTjEuMCwGA1UEAxMlSW5sYW5kIFJldmVudWUgQXV0aG9yaXR5IG9mIFNpbmdhcG9yZTEfMB0GCSqGSIb3DQEJARYQaXJhc0BpcmFzLmdvdi5zZzCCASIwDQYJKoZIhvcNAQEBBQADggEPADCCAQoCggEBAOJOaZpPY+2nJfxRuGUXR/rXgWQ9TTe+NwHwho//aFl0pXHujY9Mf5z8jE/kvmdiwasu0OU2zYRmfOybTtbfHOm2jmXHZdOwZDt1Ttqbh6fCxjVFsUoJ0kDqOazuWUEGL8OfQypc0lAr0pF3S8RiXOOi8jCInKx2AMhc67rXaXjJAuqEyGt3CG7NcZbrJHoiY6F1/T1tWFE/ylnxGpWRUi4aVIAzBwEXHpJyV5zfRDNt48NK7BXpsEo+JmA6NFNC+YvHySqh9yAolJGPO0xlUCLO+w+dyYN7dFCTDobSYuzUEm1SeJmGQO+qTksPHxJg3ZNQBEYNSVFE+RHK8IR2rFsCAwEAAaOCAcQwggHAMAwGA1UdEwEB/wQCMAAwHQYDVR0OBBYEFMKsJ5C5Q4hrrTPvNwi2DtMsHLGtMB8GA1UdIwQYMBaAFAafb06iKU4PDK4Xv7aYRu+tuDtyMGcGCCsGAQUFBwEBBFswWTAjBggrBgEFBQcwAYYXaHR0cDovL29jc3AuZW50cnVzdC5uZXQwMgYIKwYBBQUHMAKGJmh0dHA6Ly9haWEuZW50cnVzdC5uZXQvY2xhc3MzLTIwNDguY2VyMDcGA1UdHwQwMC4wLKAqoCiGJmh0dHA6Ly9jcmwuZW50cnVzdC5uZXQvY2xhc3MzLXNoYTIuY3JsMA4GA1UdDwEB/wQEAwIGwDAgBgNVHSUEGTAXBglghkgBhvprKAsGCisGAQQBgjcKAwwwQwYKKoZIhvcvAQEJAQQ1MDMCAQGGLmh0dHA6Ly90aW1lc3RhbXAuZW50cnVzdC5uZXQvVFNTL1JGQzMxNjFzaGEyVFMwEwYKKoZIhvcvAQEJAgQFMAMCAQEwQgYDVR0gBDswOTA3BgpghkgBhvpsCgEGMCkwJwYIKwYBBQUHAgEWG2h0dHBzOi8vd3d3LmVudHJ1c3QubmV0L3JwYTANBgkqhkiG9w0BAQsFAAOCAQEAPXCEo7rpWYCiGd7cpYRUrLu5TYskcMudz1ZgjJKipCrnPWc+Um7pxKj59cs73zSrD+SxI9Oym6wdvQo6qQluLdiTYNrCthVStb6TD8EjUg9SQdQd2xqpuiZlIc4zU7xNrYUm5YC/598CiYW61xI5L6WK3zFkJLoTDUg6S8fgs5KXPB5FmDQVYp3lLX3YMPNT0zI8N1fcjPHLU4n4b3bc5icm2MgGzL0B+2eufQ5tWf/6Av0QkfdjUythpEU/xX8swX6LOqrVVXz9qE3XP4KyIoZpsHf1GzsQQeOTOZ0zdXh4opd8qQUkPay6bSgpQdu7wm/suUNhRMYqvZf1OAxT6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vvsM58qzs+Qvvj9KGvAvpuE6byaWYl4UthLplyBKcQQ=</DigestValue>
      </Reference>
      <Reference URI="/xl/calcChain.xml?ContentType=application/vnd.openxmlformats-officedocument.spreadsheetml.calcChain+xml">
        <DigestMethod Algorithm="http://www.w3.org/2001/04/xmlenc#sha256"/>
        <DigestValue>no8ALUhJ1hMOe9y3CifTXV5hz2KrUCpy8rcEzY59pEc=</DigestValue>
      </Reference>
      <Reference URI="/xl/comments1.xml?ContentType=application/vnd.openxmlformats-officedocument.spreadsheetml.comments+xml">
        <DigestMethod Algorithm="http://www.w3.org/2001/04/xmlenc#sha256"/>
        <DigestValue>p9lhtggFP0tRvC++ztD/sWHlIJkHot+4P8wqpfsOfqA=</DigestValue>
      </Reference>
      <Reference URI="/xl/drawings/vmlDrawing1.vml?ContentType=application/vnd.openxmlformats-officedocument.vmlDrawing">
        <DigestMethod Algorithm="http://www.w3.org/2001/04/xmlenc#sha256"/>
        <DigestValue>rQLuO+qzVMn8DX2CY7rIicz4dXtsvjWCjreoB0n8eyI=</DigestValue>
      </Reference>
      <Reference URI="/xl/sharedStrings.xml?ContentType=application/vnd.openxmlformats-officedocument.spreadsheetml.sharedStrings+xml">
        <DigestMethod Algorithm="http://www.w3.org/2001/04/xmlenc#sha256"/>
        <DigestValue>uUCWqRiN3HFbj/NYlR/YpDKPt33WPQAm+FbfVzBk0fg=</DigestValue>
      </Reference>
      <Reference URI="/xl/styles.xml?ContentType=application/vnd.openxmlformats-officedocument.spreadsheetml.styles+xml">
        <DigestMethod Algorithm="http://www.w3.org/2001/04/xmlenc#sha256"/>
        <DigestValue>oTlxTej6vfRiaDC36lEot9Y/T35GGiIi9dBDvLENjiA=</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6m9fEe5U8Jygf7y3C1qK3hyutRuHXWlbsfMXEYneqZQ=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Transform>
          <Transform Algorithm="http://www.w3.org/TR/2001/REC-xml-c14n-20010315"/>
        </Transforms>
        <DigestMethod Algorithm="http://www.w3.org/2001/04/xmlenc#sha256"/>
        <DigestValue>3nJeVokIXDPDOgw29q35pP0g/8YY4Pw4HCwp0HgD22s=</DigestValue>
      </Reference>
      <Reference URI="/xl/worksheets/sheet1.xml?ContentType=application/vnd.openxmlformats-officedocument.spreadsheetml.worksheet+xml">
        <DigestMethod Algorithm="http://www.w3.org/2001/04/xmlenc#sha256"/>
        <DigestValue>Wepl370eVqTu6grvrepYPQLIvgOI0hlJX8ZLciNhYGI=</DigestValue>
      </Reference>
      <Reference URI="/xl/worksheets/sheet2.xml?ContentType=application/vnd.openxmlformats-officedocument.spreadsheetml.worksheet+xml">
        <DigestMethod Algorithm="http://www.w3.org/2001/04/xmlenc#sha256"/>
        <DigestValue>L29HHayOQjVt3cNwPaFxC8WTVknP9tBNklswpJx9ThI=</DigestValue>
      </Reference>
    </Manifest>
    <SignatureProperties>
      <SignatureProperty Id="idSignatureTime" Target="#idPackageSignature">
        <mdssi:SignatureTime xmlns:mdssi="http://schemas.openxmlformats.org/package/2006/digital-signature">
          <mdssi:Format>YYYY-MM-DDThh:mm:ssTZD</mdssi:Format>
          <mdssi:Value>2026-03-04T06:19:58Z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1600</HorizontalResolution>
          <VerticalResolution>900</VerticalResolution>
          <ColorDepth>32</ColorDepth>
          <SignatureProviderId>{00000000-0000-0000-0000-000000000000}</SignatureProviderId>
          <SignatureProviderUrl/>
          <SignatureProviderDetails>9</SignatureProviderDetails>
          <SignatureType>1</SignatureType>
        </SignatureInfoV1>
        <SignatureInfoV2 xmlns="http://schemas.microsoft.com/office/2006/digsig">
          <Address1>55 NEWTON RD, REVENUE HOUSE</Address1>
          <Address2/>
        </SignatureInfoV2>
      </SignatureProperty>
    </SignatureProperties>
  </Object>
  <Object>
    <xd:QualifyingProperties xmlns:xd="http://uri.etsi.org/01903/v1.3.2#" Target="#idPackageSignature">
      <xd:SignedProperties Id="idSignedProperties">
        <xd:SignedSignatureProperties>
          <xd:SigningTime>2026-03-04T06:19:58Z</xd:SigningTime>
          <xd:SigningCertificate>
            <xd:Cert>
              <xd:CertDigest>
                <DigestMethod Algorithm="http://www.w3.org/2001/04/xmlenc#sha256"/>
                <DigestValue>1OL+co2axBa3LFE5AmRjF8nkkJMN9dWHsWk+S0ejSyo=</DigestValue>
              </xd:CertDigest>
              <xd:IssuerSerial>
                <X509IssuerName>CN=Entrust Class 3 Client CA - SHA256, OU="(c) 2015 Entrust, Inc. - for authorized use only", OU=See www.entrust.net/legal-terms, O="Entrust, Inc.", C=US</X509IssuerName>
                <X509SerialNumber>101532860501404526611644611315633383873</X509SerialNumber>
              </xd:IssuerSerial>
            </xd:Cert>
          </xd:SigningCertificate>
          <xd:SignaturePolicyIdentifier>
            <xd:SignaturePolicyImplied/>
          </xd:SignaturePolicyIdentifier>
          <xd:SignatureProductionPlace>
            <xd:City>SINGAPORE</xd:City>
            <xd:StateOrProvince/>
            <xd:PostalCode>307987</xd:PostalCode>
            <xd:CountryName>SINGAPORE</xd:CountryName>
          </xd:SignatureProductionPlace>
          <xd:SignerRole>
            <xd:ClaimedRoles>
              <xd:ClaimedRole>IRAS@IRAS.GOV.SG</xd:ClaimedRole>
            </xd:ClaimedRoles>
          </xd:SignerRole>
        </xd:SignedSignatureProperties>
        <xd:SignedDataObjectProperties>
          <xd:CommitmentTypeIndication>
            <xd:CommitmentTypeId>
              <xd:Identifier>http://uri.etsi.org/01903/v1.2.2#ProofOfApproval</xd:Identifier>
              <xd:Description>Approved this document</xd:Description>
            </xd:CommitmentTypeId>
            <xd:AllSignedDataObjects/>
          </xd:CommitmentTypeIndication>
        </xd:SignedDataObjectProperties>
      </xd:SignedProperties>
      <xd:UnsignedProperties>
        <xd:UnsignedSignatureProperties>
          <xd:CertificateValues>
            <xd:EncapsulatedX509Certificate>MIIFOTCCBCGgAwIBAgIMVRYVFQAAAABRzhYOMA0GCSqGSIb3DQEBCwUAMIG0MRQwEgYDVQQKEwtFbnRydXN0Lm5ldDFAMD4GA1UECxQ3d3d3LmVudHJ1c3QubmV0L0NQU18yMDQ4IGluY29ycC4gYnkgcmVmLiAobGltaXRzIGxpYWIuKTElMCMGA1UECxMcKGMpIDE5OTkgRW50cnVzdC5uZXQgTGltaXRlZDEzMDEGA1UEAxMqRW50cnVzdC5uZXQgQ2VydGlmaWNhdGlvbiBBdXRob3JpdHkgKDIwNDgpMB4XDTE2MDIyNTE4MDgxNloXDTI5MDYyNTE4MzgxNlowgbcxCzAJBgNVBAYTAlVTMRYwFAYDVQQKEw1FbnRydXN0LCBJbmMuMSgwJgYDVQQLEx9TZWUgd3d3LmVudHJ1c3QubmV0L2xlZ2FsLXRlcm1zMTkwNwYDVQQLEzAoYykgMjAxNSBFbnRydXN0LCBJbmMuIC0gZm9yIGF1dGhvcml6ZWQgdXNlIG9ubHkxKzApBgNVBAMTIkVudHJ1c3QgQ2xhc3MgMyBDbGllbnQgQ0EgLSBTSEEyNTYwggEiMA0GCSqGSIb3DQEBAQUAA4IBDwAwggEKAoIBAQDGnEvBT0qd2X3TO1eRq83pdhUtwCAvLDGGxQk9sB+RhJhDlS7UnqraVeLgYOi7B+/Lg+0uXxny0CjtOmQ/y64wYCHmZqtYTmJndk5SjNx7mEQODi2QULUh+42xza8hByWXz7oPGEcZTnHLabj6I20aBhE1wVa6n2Ih8bDxAY9ez/EiosFCDvXNMugrJ/SSbwsVXvz6aVKwjn6ky3W5RYS1kwMLcitAs25DQqETGRhkRNSmIAlFsDpkD1b95IUojrjUOCPHLuKw+5r7GjiBkzLnLR+ujjcXzvzCFD993yTsseygqo4jBIEce68pztTn1OFm6W5k6eEFsiqRmHBY2PILAgMBAAGjggFEMIIBQDAOBgNVHQ8BAf8EBAMCAQYwNAYDVR0lBC0wKwYIKwYBBQUHAwIGCCsGAQUFBwMEBgorBgEEAYI3CgMMBglghkgBhvprKAswOwYDVR0gBDQwMjAwBgRVHSAAMCgwJgYIKwYBBQUHAgEWGmh0dHA6Ly93d3cuZW50cnVzdC5uZXQvcnBhMBIGA1UdEwEB/wQIMAYBAf8CAQAwMwYIKwYBBQUHAQEEJzAlMCMGCCsGAQUFBzABhhdodHRwOi8vb2NzcC5lbnRydXN0Lm5ldDAyBgNVHR8EKzApMCegJaAjhiFodHRwOi8vY3JsLmVudHJ1c3QubmV0LzIwNDhjYS5jcmwwHQYDVR0OBBYEFAafb06iKU4PDK4Xv7aYRu+tuDtyMB8GA1UdIwQYMBaAFFXkgdERgL7YibkIozH5oSQJFrlwMA0GCSqGSIb3DQEBCwUAA4IBAQB8eBvEzfG7ciGMiBdPtSqio/2dh+DXHDyC2Z6Vkzd305spuLwA0olAKJKZgKFM804XffTDY4zCTvY3sX9gMvHUk1utlt2Kt8KPDfFLrfxL21sNyj79WG99p7vrzVlsO+8AFZU2AdTLPLVjz9/Tmqr5RRKyq4IPZg0uaAM4+m6VIOceWnYEI2A9S+XpEHWqF9vbCevuF0iLnZalaqPdTBkfYkAuD/T6AOZabkbolo2bjssLzYsHOZExFCFu37kJZTw/JaDlC7o6A0r0QaZojaXqYM0jSfppwIWH58keRNVFyBIApO0GmIpBSieh8hZlo1X6K0yukH+M53cikOr4IS/F</xd:EncapsulatedX509Certificate>
            <xd:EncapsulatedX509Certificate>MIIEKjCCAxKgAwIBAgIEOGPe+DANBgkqhkiG9w0BAQUFADCBtDEUMBIGA1UEChMLRW50cnVzdC5uZXQxQDA+BgNVBAsUN3d3dy5lbnRydXN0Lm5ldC9DUFNfMjA0OCBpbmNvcnAuIGJ5IHJlZi4gKGxpbWl0cyBsaWFiLikxJTAjBgNVBAsTHChjKSAxOTk5IEVudHJ1c3QubmV0IExpbWl0ZWQxMzAxBgNVBAMTKkVudHJ1c3QubmV0IENlcnRpZmljYXRpb24gQXV0aG9yaXR5ICgyMDQ4KTAeFw05OTEyMjQxNzUwNTFaFw0yOTA3MjQxNDE1MTJaMIG0MRQwEgYDVQQKEwtFbnRydXN0Lm5ldDFAMD4GA1UECxQ3d3d3LmVudHJ1c3QubmV0L0NQU18yMDQ4IGluY29ycC4gYnkgcmVmLiAobGltaXRzIGxpYWIuKTElMCMGA1UECxMcKGMpIDE5OTkgRW50cnVzdC5uZXQgTGltaXRlZDEzMDEGA1UEAxMqRW50cnVzdC5uZXQgQ2VydGlmaWNhdGlvbiBBdXRob3JpdHkgKDIwNDgpMIIBIjANBgkqhkiG9w0BAQEFAAOCAQ8AMIIBCgKCAQEArU1LqRKGsuqjIAcVFmQqK0vRvwtKTY7tgHalZ7d4QMBzQshowNtTK91euHaYNZOLGp18EzoOH1u3Hs/lJBQesYGpjX24zGtLA/ECDNyrpUAkAH90lKGdCCmziAv1h3edVc3kw37XamSrhRSGlVuXMlBvPci6Zgzj/L24ScF2iUkZ/cCovYmjZy/Gn7xxGWC4LeksyZB2ZnuU4q941mVTXTzWnLLPKQP5L6RQstRIzgUyVYr9smRMDuSYB3Xbf9+5CFVghTAp+XtIpGmG4zU/HoZdenoVve8AjhUiVBcAkCaTvA5JaJG/+EfTnZVCwQ5N328mz8MYIWJmQ3DW1cAH4QIDAQABo0IwQDAOBgNVHQ8BAf8EBAMCAQYwDwYDVR0TAQH/BAUwAwEB/zAdBgNVHQ4EFgQUVeSB0RGAvtiJuQijMfmhJAkWuXAwDQYJKoZIhvcNAQEFBQADggEBADubj1abMOdTmXx6eadNl9cZlZD7Bh/KM3xGY4+WZiT6QBshJ8rmcnPyT/4xmf3IDExoU8aAghOY+rat2l098c5u9hURlIIM7j+VrxGrD9cv3h8Dj1csHsm7mhpElesYT6YfzX1XEC+bBAlahLVu2B064dae0Wx5XnkcFMXj0EyTO2U87d89vqbllRrDtRnDvV5bu/8j72gZyxKTJ1wDLW8w0B62GqzeWvfRqqgnpv55gcR5mTNXuhKwqeBCbJPKVt7+bYQLCIt+jerXmCHG8+c8eS9enNFMFY3h7CI3zJpDC5fcgJCNs2ebb0gIFVbPv/ErfF6adulZkMV8gzURZVE=</xd:EncapsulatedX509Certificate>
          </xd:CertificateValues>
        </xd:UnsignedSignatureProperties>
      </xd:UnsignedProperties>
    </xd:QualifyingProperties>
  </Object>
</Signature>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_rels/item4.xml.rels>&#65279;<?xml version="1.0" encoding="utf-8" standalone="yes"?>
<Relationships xmlns="http://schemas.openxmlformats.org/package/2006/relationships">
  <Relationship Id="rId1" Type="http://schemas.openxmlformats.org/officeDocument/2006/relationships/customXmlProps" Target="itemProps4.xml" />
</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DD7899CA30CD1B4DB17F524ED7C5AFDA" ma:contentTypeVersion="3" ma:contentTypeDescription="Create a new document." ma:contentTypeScope="" ma:versionID="3e83e475746286a43118106ccc6ec091">
  <xsd:schema xmlns:xsd="http://www.w3.org/2001/XMLSchema" xmlns:xs="http://www.w3.org/2001/XMLSchema" xmlns:p="http://schemas.microsoft.com/office/2006/metadata/properties" xmlns:ns1="http://schemas.microsoft.com/sharepoint/v3" xmlns:ns2="680db949-db8e-4ddf-b1c2-5eb93f14d32a" targetNamespace="http://schemas.microsoft.com/office/2006/metadata/properties" ma:root="true" ma:fieldsID="74ff43d0c84c2ffb734704a52f175cd7" ns1:_="" ns2:_="">
    <xsd:import namespace="http://schemas.microsoft.com/sharepoint/v3"/>
    <xsd:import namespace="680db949-db8e-4ddf-b1c2-5eb93f14d32a"/>
    <xsd:element name="properties">
      <xsd:complexType>
        <xsd:sequence>
          <xsd:element name="documentManagement">
            <xsd:complexType>
              <xsd:all>
                <xsd:element ref="ns1:PublishingStartDate" minOccurs="0"/>
                <xsd:element ref="ns1:PublishingExpirationDate"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80db949-db8e-4ddf-b1c2-5eb93f14d32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93C439-D456-4048-8126-94BC65D147D0}">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5F6625EB-8208-40F3-B5EE-8FC30074245A}">
  <ds:schemaRefs>
    <ds:schemaRef ds:uri="http://schemas.microsoft.com/sharepoint/v3/contenttype/forms"/>
  </ds:schemaRefs>
</ds:datastoreItem>
</file>

<file path=customXml/itemProps3.xml><?xml version="1.0" encoding="utf-8"?>
<ds:datastoreItem xmlns:ds="http://schemas.openxmlformats.org/officeDocument/2006/customXml" ds:itemID="{F549708B-E77A-4D17-8DC5-1C89309CC015}">
  <ds:schemaRefs>
    <ds:schemaRef ds:uri="http://schemas.microsoft.com/office/2006/metadata/longProperties"/>
  </ds:schemaRefs>
</ds:datastoreItem>
</file>

<file path=customXml/itemProps4.xml><?xml version="1.0" encoding="utf-8"?>
<ds:datastoreItem xmlns:ds="http://schemas.openxmlformats.org/officeDocument/2006/customXml" ds:itemID="{49E9731B-EA6E-4B5E-9150-466DE208C8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80db949-db8e-4ddf-b1c2-5eb93f14d3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9</vt:i4>
      </vt:variant>
    </vt:vector>
  </HeadingPairs>
  <TitlesOfParts>
    <vt:vector size="11" baseType="lpstr">
      <vt:lpstr>Non-Resident Calculator</vt:lpstr>
      <vt:lpstr>codes</vt:lpstr>
      <vt:lpstr>balancetaxrebatepercent</vt:lpstr>
      <vt:lpstr>EIR</vt:lpstr>
      <vt:lpstr>EmptNRtaxates</vt:lpstr>
      <vt:lpstr>OthersNRtaxrates</vt:lpstr>
      <vt:lpstr>'Non-Resident Calculator'!Print_Area</vt:lpstr>
      <vt:lpstr>residenttax</vt:lpstr>
      <vt:lpstr>s40taxrates</vt:lpstr>
      <vt:lpstr>taxrebateamt</vt:lpstr>
      <vt:lpstr>taxrebatepercent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inlspha</dc:creator>
  <cp:lastModifiedBy>Sabrina TING (IRAS)</cp:lastModifiedBy>
  <dcterms:created xsi:type="dcterms:W3CDTF">2009-07-22T03:00:47Z</dcterms:created>
  <dcterms:modified xsi:type="dcterms:W3CDTF">2026-03-02T02:41:25Z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LUM MEI YOKE</vt:lpwstr>
  </property>
  <property fmtid="{D5CDD505-2E9C-101B-9397-08002B2CF9AE}" pid="3" name="display_urn:schemas-microsoft-com:office:office#Author">
    <vt:lpwstr>LUM MEI YOKE</vt:lpwstr>
  </property>
  <property fmtid="{D5CDD505-2E9C-101B-9397-08002B2CF9AE}" pid="4" name="_dlc_DocIdUrl">
    <vt:lpwstr>https://inex3.iras.gov.sg/sites/FnC/_layouts/15/DocIdRedir.aspx?ID=3NFR4WWD2VMX-1327972061-1644, 3NFR4WWD2VMX-1327972061-1644</vt:lpwstr>
  </property>
  <property fmtid="{D5CDD505-2E9C-101B-9397-08002B2CF9AE}" pid="5" name="_dlc_DocIdItemGuid">
    <vt:lpwstr>a1774217-c1c6-4af6-9b4c-e3ccf2fee0a1</vt:lpwstr>
  </property>
  <property fmtid="{D5CDD505-2E9C-101B-9397-08002B2CF9AE}" pid="6" name="_dlc_DocId">
    <vt:lpwstr>3NFR4WWD2VMX-1327972061-1644</vt:lpwstr>
  </property>
  <property fmtid="{D5CDD505-2E9C-101B-9397-08002B2CF9AE}" pid="7" name="MSIP_Label_5434c4c7-833e-41e4-b0ab-cdb227a2f6f7_SiteId">
    <vt:lpwstr>0b11c524-9a1c-4e1b-84cb-6336aefc2243</vt:lpwstr>
  </property>
  <property fmtid="{D5CDD505-2E9C-101B-9397-08002B2CF9AE}" pid="8" name="MSIP_Label_5434c4c7-833e-41e4-b0ab-cdb227a2f6f7_SetDate">
    <vt:lpwstr>2022-07-18T07:41:37Z</vt:lpwstr>
  </property>
  <property fmtid="{D5CDD505-2E9C-101B-9397-08002B2CF9AE}" pid="9" name="MSIP_Label_5434c4c7-833e-41e4-b0ab-cdb227a2f6f7_Name">
    <vt:lpwstr>Official (Open)</vt:lpwstr>
  </property>
  <property fmtid="{D5CDD505-2E9C-101B-9397-08002B2CF9AE}" pid="10" name="MSIP_Label_5434c4c7-833e-41e4-b0ab-cdb227a2f6f7_Method">
    <vt:lpwstr>Privileged</vt:lpwstr>
  </property>
  <property fmtid="{D5CDD505-2E9C-101B-9397-08002B2CF9AE}" pid="11" name="MSIP_Label_5434c4c7-833e-41e4-b0ab-cdb227a2f6f7_Enabled">
    <vt:lpwstr>true</vt:lpwstr>
  </property>
  <property fmtid="{D5CDD505-2E9C-101B-9397-08002B2CF9AE}" pid="12" name="MSIP_Label_5434c4c7-833e-41e4-b0ab-cdb227a2f6f7_ContentBits">
    <vt:lpwstr>0</vt:lpwstr>
  </property>
  <property fmtid="{D5CDD505-2E9C-101B-9397-08002B2CF9AE}" pid="13" name="MSIP_Label_5434c4c7-833e-41e4-b0ab-cdb227a2f6f7_ActionId">
    <vt:lpwstr>8e02e537-e2e1-4130-a828-1b8a594c5706</vt:lpwstr>
  </property>
</Properties>
</file>