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calcChain.xml" ContentType="application/vnd.openxmlformats-officedocument.spreadsheetml.calcChain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RASUser\Downloads\"/>
    </mc:Choice>
  </mc:AlternateContent>
  <xr:revisionPtr revIDLastSave="0" documentId="13_ncr:1_{B0CA8E9C-CD40-43E2-874F-F4759EDAAC21}" xr6:coauthVersionLast="36" xr6:coauthVersionMax="47" xr10:uidLastSave="{00000000-0000-0000-0000-000000000000}"/>
  <bookViews>
    <workbookView xWindow="0" yWindow="0" windowWidth="24000" windowHeight="9405" xr2:uid="{46C95A9D-818E-44EF-B73D-DBD9858AD43E}"/>
  </bookViews>
  <sheets>
    <sheet name="NRE Calculator" sheetId="40" r:id="rId1"/>
    <sheet name="matrix" sheetId="41" state="hidden" r:id="rId2"/>
    <sheet name="calcNresults" sheetId="42" state="hidden" r:id="rId3"/>
    <sheet name="days" sheetId="43" state="hidden" r:id="rId4"/>
  </sheets>
  <definedNames>
    <definedName name="_xlnm._FilterDatabase" localSheetId="1" hidden="1">matrix!$A$1:$Q$101</definedName>
    <definedName name="country_list">matrix!$B$3:$B$100</definedName>
    <definedName name="matrix">matrix!$B$4:$Q$100</definedName>
    <definedName name="_xlnm.Print_Area" localSheetId="1">matrix!$A$1:$O$101</definedName>
    <definedName name="_xlnm.Print_Area" localSheetId="0">'NRE Calculator'!$B$2:$AO$177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7" i="41" l="1"/>
  <c r="Q47" i="41"/>
  <c r="M33" i="41"/>
  <c r="Q33" i="41"/>
  <c r="E104" i="42"/>
  <c r="M79" i="41"/>
  <c r="Q79" i="41"/>
  <c r="Q45" i="41"/>
  <c r="Q5" i="41"/>
  <c r="J83" i="40"/>
  <c r="M91" i="41"/>
  <c r="Q91" i="41"/>
  <c r="M32" i="41"/>
  <c r="Q32" i="41"/>
  <c r="Q98" i="41"/>
  <c r="M64" i="41"/>
  <c r="M98" i="41"/>
  <c r="M26" i="41"/>
  <c r="Q26" i="41"/>
  <c r="Q64" i="41"/>
  <c r="M16" i="41"/>
  <c r="Q16" i="41"/>
  <c r="M76" i="41"/>
  <c r="Q76" i="41"/>
  <c r="Q49" i="41"/>
  <c r="D110" i="42"/>
  <c r="C161" i="42"/>
  <c r="E148" i="42"/>
  <c r="E147" i="42"/>
  <c r="C184" i="42"/>
  <c r="C183" i="42"/>
  <c r="C182" i="42"/>
  <c r="C181" i="42"/>
  <c r="C178" i="42"/>
  <c r="C166" i="42"/>
  <c r="C165" i="42"/>
  <c r="C162" i="42"/>
  <c r="G184" i="42"/>
  <c r="G166" i="42"/>
  <c r="C172" i="42"/>
  <c r="J57" i="43"/>
  <c r="J56" i="43"/>
  <c r="E146" i="42"/>
  <c r="G69" i="43"/>
  <c r="G68" i="43"/>
  <c r="G67" i="43"/>
  <c r="G66" i="43"/>
  <c r="G65" i="43"/>
  <c r="G64" i="43"/>
  <c r="G63" i="43"/>
  <c r="G62" i="43"/>
  <c r="G61" i="43"/>
  <c r="Q54" i="41"/>
  <c r="M80" i="41"/>
  <c r="M78" i="41"/>
  <c r="M77" i="41"/>
  <c r="Q80" i="41"/>
  <c r="Q77" i="41"/>
  <c r="Q23" i="41"/>
  <c r="F174" i="40"/>
  <c r="Q60" i="41"/>
  <c r="Q52" i="41"/>
  <c r="Q10" i="41"/>
  <c r="E7" i="43"/>
  <c r="G7" i="43" s="1"/>
  <c r="E13" i="43"/>
  <c r="E32" i="43" s="1"/>
  <c r="F13" i="43"/>
  <c r="F32" i="43"/>
  <c r="B37" i="43" s="1"/>
  <c r="E14" i="43"/>
  <c r="E33" i="43"/>
  <c r="F14" i="43"/>
  <c r="E15" i="43"/>
  <c r="F15" i="43"/>
  <c r="F34" i="43"/>
  <c r="E16" i="43"/>
  <c r="F16" i="43"/>
  <c r="F35" i="43"/>
  <c r="AE52" i="43"/>
  <c r="AJ52" i="43"/>
  <c r="E17" i="43"/>
  <c r="E36" i="43"/>
  <c r="F17" i="43"/>
  <c r="E18" i="43"/>
  <c r="F18" i="43"/>
  <c r="E19" i="43"/>
  <c r="E38" i="43"/>
  <c r="H38" i="43"/>
  <c r="F19" i="43"/>
  <c r="E20" i="43"/>
  <c r="E39" i="43"/>
  <c r="F20" i="43"/>
  <c r="F39" i="43"/>
  <c r="AE56" i="43"/>
  <c r="AF56" i="43"/>
  <c r="AG56" i="43"/>
  <c r="E21" i="43"/>
  <c r="E40" i="43"/>
  <c r="F21" i="43"/>
  <c r="H21" i="43"/>
  <c r="J21" i="43"/>
  <c r="E22" i="43"/>
  <c r="F22" i="43"/>
  <c r="E23" i="43"/>
  <c r="F23" i="43"/>
  <c r="E24" i="43"/>
  <c r="E43" i="43"/>
  <c r="F24" i="43"/>
  <c r="F43" i="43"/>
  <c r="AE60" i="43"/>
  <c r="E8" i="43"/>
  <c r="F8" i="43" s="1"/>
  <c r="AX38" i="40"/>
  <c r="AW39" i="40"/>
  <c r="B6" i="42"/>
  <c r="D155" i="42" s="1"/>
  <c r="C164" i="42" s="1"/>
  <c r="E2" i="43"/>
  <c r="E3" i="43"/>
  <c r="Q78" i="41"/>
  <c r="M85" i="41"/>
  <c r="Q85" i="41"/>
  <c r="M68" i="41"/>
  <c r="Q68" i="41"/>
  <c r="M44" i="41"/>
  <c r="Q44" i="41"/>
  <c r="Q40" i="41"/>
  <c r="M34" i="41"/>
  <c r="Q34" i="41"/>
  <c r="M13" i="41"/>
  <c r="Q13" i="41"/>
  <c r="M11" i="41"/>
  <c r="Q11" i="41"/>
  <c r="M6" i="41"/>
  <c r="Q6" i="41"/>
  <c r="AW100" i="40"/>
  <c r="AV100" i="40"/>
  <c r="AU100" i="40"/>
  <c r="AT100" i="40"/>
  <c r="AW99" i="40"/>
  <c r="AV99" i="40"/>
  <c r="AU99" i="40"/>
  <c r="AT99" i="40"/>
  <c r="AW101" i="40"/>
  <c r="AV101" i="40"/>
  <c r="AU101" i="40"/>
  <c r="AT101" i="40"/>
  <c r="L119" i="40"/>
  <c r="K18" i="42"/>
  <c r="K17" i="42"/>
  <c r="D24" i="43"/>
  <c r="D23" i="43"/>
  <c r="D43" i="43"/>
  <c r="D42" i="43"/>
  <c r="AI42" i="43"/>
  <c r="AV50" i="40"/>
  <c r="AU50" i="40"/>
  <c r="AV49" i="40"/>
  <c r="AU49" i="40"/>
  <c r="AW49" i="40"/>
  <c r="AW48" i="40"/>
  <c r="E48" i="43"/>
  <c r="E47" i="43"/>
  <c r="G43" i="42"/>
  <c r="K16" i="42"/>
  <c r="K14" i="42"/>
  <c r="J138" i="40"/>
  <c r="C138" i="40"/>
  <c r="D107" i="42"/>
  <c r="AV39" i="40"/>
  <c r="AU39" i="40"/>
  <c r="AT39" i="40"/>
  <c r="AU40" i="40"/>
  <c r="AV40" i="40"/>
  <c r="AW40" i="40"/>
  <c r="AU41" i="40"/>
  <c r="AV41" i="40"/>
  <c r="AW41" i="40"/>
  <c r="AU42" i="40"/>
  <c r="AV42" i="40"/>
  <c r="AW42" i="40"/>
  <c r="AU43" i="40"/>
  <c r="AV43" i="40"/>
  <c r="AW43" i="40"/>
  <c r="AU44" i="40"/>
  <c r="AV44" i="40"/>
  <c r="AW44" i="40"/>
  <c r="AU45" i="40"/>
  <c r="AV45" i="40"/>
  <c r="AW45" i="40"/>
  <c r="AU46" i="40"/>
  <c r="AV46" i="40"/>
  <c r="AW46" i="40"/>
  <c r="AU47" i="40"/>
  <c r="AV47" i="40"/>
  <c r="AW47" i="40"/>
  <c r="AU48" i="40"/>
  <c r="AV48" i="40"/>
  <c r="AQ7" i="40"/>
  <c r="C103" i="40"/>
  <c r="Q39" i="41"/>
  <c r="AV98" i="40"/>
  <c r="AV97" i="40"/>
  <c r="AV96" i="40"/>
  <c r="AV95" i="40"/>
  <c r="AV94" i="40"/>
  <c r="AV93" i="40"/>
  <c r="AV92" i="40"/>
  <c r="AV91" i="40"/>
  <c r="AV90" i="40"/>
  <c r="AV89" i="40"/>
  <c r="AX99" i="40" s="1"/>
  <c r="BB100" i="40" s="1"/>
  <c r="AX36" i="40"/>
  <c r="AT30" i="40"/>
  <c r="AZ36" i="40"/>
  <c r="J137" i="40"/>
  <c r="AA146" i="40"/>
  <c r="G146" i="40"/>
  <c r="P144" i="40"/>
  <c r="Q97" i="41"/>
  <c r="Q96" i="41"/>
  <c r="Q70" i="41"/>
  <c r="Q62" i="41"/>
  <c r="Q18" i="41"/>
  <c r="Q19" i="41"/>
  <c r="Q20" i="41"/>
  <c r="Q21" i="41"/>
  <c r="Q22" i="41"/>
  <c r="Q24" i="41"/>
  <c r="Q25" i="41"/>
  <c r="Q27" i="41"/>
  <c r="Q28" i="41"/>
  <c r="Q29" i="41"/>
  <c r="Q30" i="41"/>
  <c r="Q31" i="41"/>
  <c r="Q35" i="41"/>
  <c r="Q36" i="41"/>
  <c r="Q37" i="41"/>
  <c r="Q38" i="41"/>
  <c r="Q41" i="41"/>
  <c r="Q42" i="41"/>
  <c r="Q43" i="41"/>
  <c r="Q46" i="41"/>
  <c r="Q48" i="41"/>
  <c r="Q50" i="41"/>
  <c r="Q51" i="41"/>
  <c r="Q53" i="41"/>
  <c r="Q55" i="41"/>
  <c r="Q56" i="41"/>
  <c r="Q57" i="41"/>
  <c r="Q58" i="41"/>
  <c r="Q59" i="41"/>
  <c r="Q61" i="41"/>
  <c r="Q63" i="41"/>
  <c r="Q65" i="41"/>
  <c r="Q66" i="41"/>
  <c r="Q67" i="41"/>
  <c r="Q69" i="41"/>
  <c r="Q71" i="41"/>
  <c r="Q72" i="41"/>
  <c r="Q73" i="41"/>
  <c r="Q74" i="41"/>
  <c r="Q75" i="41"/>
  <c r="Q81" i="41"/>
  <c r="Q82" i="41"/>
  <c r="Q83" i="41"/>
  <c r="Q84" i="41"/>
  <c r="Q86" i="41"/>
  <c r="Q87" i="41"/>
  <c r="Q88" i="41"/>
  <c r="Q89" i="41"/>
  <c r="Q90" i="41"/>
  <c r="Q92" i="41"/>
  <c r="Q94" i="41"/>
  <c r="Q95" i="41"/>
  <c r="Q99" i="41"/>
  <c r="Q100" i="41"/>
  <c r="Q7" i="41"/>
  <c r="Q8" i="41"/>
  <c r="Q9" i="41"/>
  <c r="Q12" i="41"/>
  <c r="Q14" i="41"/>
  <c r="Q15" i="41"/>
  <c r="Q17" i="41"/>
  <c r="Q4" i="41"/>
  <c r="D109" i="40"/>
  <c r="C113" i="40"/>
  <c r="B113" i="40"/>
  <c r="AT95" i="40"/>
  <c r="AU95" i="40"/>
  <c r="AW95" i="40"/>
  <c r="AT96" i="40"/>
  <c r="AU96" i="40"/>
  <c r="AW96" i="40"/>
  <c r="AT97" i="40"/>
  <c r="AU97" i="40"/>
  <c r="AW97" i="40"/>
  <c r="AT98" i="40"/>
  <c r="AU98" i="40"/>
  <c r="AW98" i="40"/>
  <c r="AT90" i="40"/>
  <c r="AU90" i="40"/>
  <c r="AT91" i="40"/>
  <c r="AU91" i="40"/>
  <c r="AT92" i="40"/>
  <c r="AU92" i="40"/>
  <c r="AT93" i="40"/>
  <c r="AU93" i="40"/>
  <c r="AT94" i="40"/>
  <c r="AU94" i="40"/>
  <c r="AW90" i="40"/>
  <c r="AW91" i="40"/>
  <c r="AW92" i="40"/>
  <c r="AW93" i="40"/>
  <c r="AW94" i="40"/>
  <c r="AW89" i="40"/>
  <c r="AU89" i="40"/>
  <c r="AT89" i="40"/>
  <c r="BA89" i="40" s="1"/>
  <c r="B124" i="40"/>
  <c r="C68" i="42"/>
  <c r="C69" i="42"/>
  <c r="C42" i="42"/>
  <c r="H52" i="42"/>
  <c r="C64" i="42"/>
  <c r="C70" i="42"/>
  <c r="C175" i="42"/>
  <c r="C43" i="42"/>
  <c r="AS10" i="40"/>
  <c r="C67" i="42"/>
  <c r="C66" i="42"/>
  <c r="D33" i="43"/>
  <c r="AD50" i="43"/>
  <c r="D34" i="43"/>
  <c r="S31" i="43"/>
  <c r="S48" i="43"/>
  <c r="D35" i="43"/>
  <c r="AI52" i="43"/>
  <c r="D36" i="43"/>
  <c r="AD36" i="43"/>
  <c r="D37" i="43"/>
  <c r="AI37" i="43"/>
  <c r="D38" i="43"/>
  <c r="D39" i="43"/>
  <c r="D40" i="43"/>
  <c r="AI57" i="43"/>
  <c r="D41" i="43"/>
  <c r="AI41" i="43"/>
  <c r="D32" i="43"/>
  <c r="Q31" i="43"/>
  <c r="Q48" i="43"/>
  <c r="F31" i="43"/>
  <c r="H31" i="43"/>
  <c r="F12" i="43"/>
  <c r="E31" i="43"/>
  <c r="I31" i="43"/>
  <c r="Q30" i="43"/>
  <c r="E12" i="43"/>
  <c r="D14" i="43"/>
  <c r="D15" i="43"/>
  <c r="D16" i="43"/>
  <c r="D17" i="43"/>
  <c r="D18" i="43"/>
  <c r="D19" i="43"/>
  <c r="D20" i="43"/>
  <c r="D21" i="43"/>
  <c r="D22" i="43"/>
  <c r="D13" i="43"/>
  <c r="H8" i="43"/>
  <c r="H7" i="43"/>
  <c r="C4" i="42"/>
  <c r="D4" i="42"/>
  <c r="E4" i="42"/>
  <c r="F4" i="42"/>
  <c r="G4" i="42"/>
  <c r="H4" i="42"/>
  <c r="I4" i="42"/>
  <c r="J4" i="42"/>
  <c r="K4" i="42"/>
  <c r="L4" i="42"/>
  <c r="L101" i="41"/>
  <c r="K101" i="41"/>
  <c r="J101" i="41"/>
  <c r="I101" i="41"/>
  <c r="H101" i="41"/>
  <c r="F101" i="41"/>
  <c r="E101" i="41"/>
  <c r="D101" i="41"/>
  <c r="C101" i="41"/>
  <c r="M100" i="41"/>
  <c r="M99" i="41"/>
  <c r="M97" i="41"/>
  <c r="M96" i="41"/>
  <c r="M95" i="41"/>
  <c r="M94" i="41"/>
  <c r="M92" i="41"/>
  <c r="M90" i="41"/>
  <c r="M89" i="41"/>
  <c r="M88" i="41"/>
  <c r="M87" i="41"/>
  <c r="M86" i="41"/>
  <c r="M84" i="41"/>
  <c r="M83" i="41"/>
  <c r="M82" i="41"/>
  <c r="M81" i="41"/>
  <c r="M75" i="41"/>
  <c r="M74" i="41"/>
  <c r="M73" i="41"/>
  <c r="M72" i="41"/>
  <c r="M71" i="41"/>
  <c r="M70" i="41"/>
  <c r="M69" i="41"/>
  <c r="M67" i="41"/>
  <c r="M66" i="41"/>
  <c r="M65" i="41"/>
  <c r="M63" i="41"/>
  <c r="M62" i="41"/>
  <c r="M61" i="41"/>
  <c r="M59" i="41"/>
  <c r="M58" i="41"/>
  <c r="M57" i="41"/>
  <c r="M56" i="41"/>
  <c r="M55" i="41"/>
  <c r="M53" i="41"/>
  <c r="M51" i="41"/>
  <c r="M50" i="41"/>
  <c r="M48" i="41"/>
  <c r="M46" i="41"/>
  <c r="M43" i="41"/>
  <c r="M42" i="41"/>
  <c r="M41" i="41"/>
  <c r="M38" i="41"/>
  <c r="M37" i="41"/>
  <c r="M36" i="41"/>
  <c r="M35" i="41"/>
  <c r="M31" i="41"/>
  <c r="M30" i="41"/>
  <c r="M29" i="41"/>
  <c r="M28" i="41"/>
  <c r="M27" i="41"/>
  <c r="M25" i="41"/>
  <c r="M24" i="41"/>
  <c r="M22" i="41"/>
  <c r="M21" i="41"/>
  <c r="M20" i="41"/>
  <c r="M19" i="41"/>
  <c r="M18" i="41"/>
  <c r="M17" i="41"/>
  <c r="M15" i="41"/>
  <c r="M14" i="41"/>
  <c r="M12" i="41"/>
  <c r="M9" i="41"/>
  <c r="M8" i="41"/>
  <c r="M7" i="41"/>
  <c r="M4" i="41"/>
  <c r="D2" i="41"/>
  <c r="E2" i="41"/>
  <c r="F2" i="41"/>
  <c r="H2" i="41"/>
  <c r="C9" i="42"/>
  <c r="C12" i="42"/>
  <c r="D9" i="42"/>
  <c r="D12" i="42"/>
  <c r="C65" i="42"/>
  <c r="G70" i="42"/>
  <c r="G175" i="42"/>
  <c r="AS42" i="40"/>
  <c r="AS43" i="40"/>
  <c r="AS44" i="40"/>
  <c r="AS45" i="40"/>
  <c r="AS46" i="40"/>
  <c r="AS47" i="40"/>
  <c r="AS48" i="40"/>
  <c r="AS49" i="40"/>
  <c r="AS50" i="40"/>
  <c r="E34" i="43"/>
  <c r="C34" i="43"/>
  <c r="E42" i="43"/>
  <c r="AS41" i="40"/>
  <c r="C174" i="42"/>
  <c r="F37" i="43"/>
  <c r="AE54" i="43"/>
  <c r="AF54" i="43"/>
  <c r="AG54" i="43"/>
  <c r="AJ54" i="43"/>
  <c r="AD59" i="43"/>
  <c r="G15" i="43"/>
  <c r="I15" i="43"/>
  <c r="AA31" i="43"/>
  <c r="AA48" i="43"/>
  <c r="F33" i="43"/>
  <c r="AE50" i="43"/>
  <c r="AF50" i="43"/>
  <c r="AJ50" i="43"/>
  <c r="T31" i="43"/>
  <c r="T48" i="43"/>
  <c r="AI32" i="43"/>
  <c r="AD32" i="43"/>
  <c r="AI56" i="43"/>
  <c r="G31" i="43"/>
  <c r="AD35" i="43"/>
  <c r="V31" i="43"/>
  <c r="V48" i="43"/>
  <c r="AD42" i="43"/>
  <c r="AI35" i="43"/>
  <c r="AI59" i="43"/>
  <c r="H16" i="43"/>
  <c r="J16" i="43"/>
  <c r="AI36" i="43"/>
  <c r="G20" i="43"/>
  <c r="I20" i="43"/>
  <c r="K20" i="43"/>
  <c r="N20" i="43"/>
  <c r="AI53" i="43"/>
  <c r="E41" i="43"/>
  <c r="U31" i="43"/>
  <c r="U48" i="43"/>
  <c r="G16" i="43"/>
  <c r="I16" i="43"/>
  <c r="K16" i="43"/>
  <c r="N16" i="43"/>
  <c r="AD52" i="43"/>
  <c r="AD53" i="43"/>
  <c r="R31" i="43"/>
  <c r="R48" i="43"/>
  <c r="AI51" i="43"/>
  <c r="AD40" i="43"/>
  <c r="E35" i="43"/>
  <c r="L35" i="43"/>
  <c r="AD51" i="43"/>
  <c r="Y31" i="43"/>
  <c r="Y48" i="43"/>
  <c r="AD34" i="43"/>
  <c r="AI40" i="43"/>
  <c r="AI34" i="43"/>
  <c r="AI33" i="43"/>
  <c r="AD57" i="43"/>
  <c r="AD41" i="43"/>
  <c r="G17" i="43"/>
  <c r="I17" i="43"/>
  <c r="C39" i="43"/>
  <c r="H19" i="43"/>
  <c r="J19" i="43"/>
  <c r="K19" i="43"/>
  <c r="N19" i="43"/>
  <c r="G19" i="43"/>
  <c r="I19" i="43"/>
  <c r="F38" i="43"/>
  <c r="AD33" i="43"/>
  <c r="AD49" i="43"/>
  <c r="AI49" i="43"/>
  <c r="Z31" i="43"/>
  <c r="Z48" i="43"/>
  <c r="AI58" i="43"/>
  <c r="AD58" i="43"/>
  <c r="AD38" i="43"/>
  <c r="AI38" i="43"/>
  <c r="AI55" i="43"/>
  <c r="AD55" i="43"/>
  <c r="E37" i="43"/>
  <c r="G18" i="43"/>
  <c r="I18" i="43"/>
  <c r="K18" i="43"/>
  <c r="N18" i="43"/>
  <c r="H18" i="43"/>
  <c r="J18" i="43"/>
  <c r="H23" i="43"/>
  <c r="J23" i="43"/>
  <c r="G23" i="43"/>
  <c r="I23" i="43"/>
  <c r="K23" i="43"/>
  <c r="N23" i="43"/>
  <c r="F42" i="43"/>
  <c r="J31" i="43"/>
  <c r="Q47" i="43"/>
  <c r="AI50" i="43"/>
  <c r="W31" i="43"/>
  <c r="W48" i="43"/>
  <c r="H20" i="43"/>
  <c r="J20" i="43"/>
  <c r="M35" i="43"/>
  <c r="G35" i="43"/>
  <c r="C35" i="43"/>
  <c r="K35" i="43"/>
  <c r="H35" i="43"/>
  <c r="AE55" i="43"/>
  <c r="AJ55" i="43"/>
  <c r="G38" i="43"/>
  <c r="L37" i="43"/>
  <c r="K37" i="43"/>
  <c r="G37" i="43"/>
  <c r="C37" i="43"/>
  <c r="H37" i="43"/>
  <c r="M37" i="43"/>
  <c r="M38" i="43"/>
  <c r="AJ56" i="43"/>
  <c r="L38" i="43"/>
  <c r="AF55" i="43"/>
  <c r="AG55" i="43"/>
  <c r="AG50" i="43"/>
  <c r="H14" i="43"/>
  <c r="J14" i="43"/>
  <c r="G14" i="43"/>
  <c r="I14" i="43"/>
  <c r="K14" i="43"/>
  <c r="N14" i="43"/>
  <c r="AS40" i="40"/>
  <c r="F41" i="43"/>
  <c r="H22" i="43"/>
  <c r="J22" i="43"/>
  <c r="G22" i="43"/>
  <c r="I22" i="43"/>
  <c r="K22" i="43"/>
  <c r="N22" i="43"/>
  <c r="C33" i="43"/>
  <c r="H33" i="43"/>
  <c r="G33" i="43"/>
  <c r="L33" i="43"/>
  <c r="M33" i="43"/>
  <c r="K33" i="43"/>
  <c r="AD43" i="43"/>
  <c r="AB31" i="43"/>
  <c r="AB48" i="43"/>
  <c r="AD60" i="43"/>
  <c r="AI60" i="43"/>
  <c r="AI43" i="43"/>
  <c r="AJ60" i="43"/>
  <c r="AF60" i="43"/>
  <c r="AG60" i="43"/>
  <c r="K17" i="43"/>
  <c r="N17" i="43"/>
  <c r="AE59" i="43"/>
  <c r="M42" i="43"/>
  <c r="C42" i="43"/>
  <c r="K42" i="43"/>
  <c r="L42" i="43"/>
  <c r="H42" i="43"/>
  <c r="G42" i="43"/>
  <c r="K41" i="43"/>
  <c r="M43" i="43"/>
  <c r="L43" i="43"/>
  <c r="C43" i="43"/>
  <c r="G43" i="43"/>
  <c r="K43" i="43"/>
  <c r="H43" i="43"/>
  <c r="F36" i="43"/>
  <c r="H17" i="43"/>
  <c r="J17" i="43"/>
  <c r="G34" i="43"/>
  <c r="K34" i="43"/>
  <c r="M34" i="43"/>
  <c r="AE51" i="43"/>
  <c r="AD56" i="43"/>
  <c r="AD39" i="43"/>
  <c r="AI39" i="43"/>
  <c r="X31" i="43"/>
  <c r="X48" i="43"/>
  <c r="K39" i="43"/>
  <c r="M39" i="43"/>
  <c r="H39" i="43"/>
  <c r="L39" i="43"/>
  <c r="G39" i="43"/>
  <c r="G21" i="43"/>
  <c r="I21" i="43"/>
  <c r="K21" i="43"/>
  <c r="N21" i="43"/>
  <c r="AI54" i="43"/>
  <c r="H15" i="43"/>
  <c r="J15" i="43"/>
  <c r="AD37" i="43"/>
  <c r="F40" i="43"/>
  <c r="K38" i="43"/>
  <c r="AD54" i="43"/>
  <c r="H34" i="43"/>
  <c r="G24" i="43"/>
  <c r="I24" i="43"/>
  <c r="K24" i="43"/>
  <c r="N24" i="43"/>
  <c r="C38" i="43"/>
  <c r="H24" i="43"/>
  <c r="J24" i="43"/>
  <c r="AF52" i="43"/>
  <c r="AG52" i="43"/>
  <c r="L34" i="43"/>
  <c r="AF59" i="43"/>
  <c r="AG59" i="43"/>
  <c r="AJ59" i="43"/>
  <c r="M40" i="43"/>
  <c r="L40" i="43"/>
  <c r="G40" i="43"/>
  <c r="C40" i="43"/>
  <c r="K40" i="43"/>
  <c r="AE57" i="43"/>
  <c r="H40" i="43"/>
  <c r="K15" i="43"/>
  <c r="N15" i="43"/>
  <c r="AJ51" i="43"/>
  <c r="AF51" i="43"/>
  <c r="AG51" i="43"/>
  <c r="H36" i="43"/>
  <c r="C36" i="43"/>
  <c r="L36" i="43"/>
  <c r="K36" i="43"/>
  <c r="G36" i="43"/>
  <c r="M36" i="43"/>
  <c r="AE53" i="43"/>
  <c r="M41" i="43"/>
  <c r="AE58" i="43"/>
  <c r="G41" i="43"/>
  <c r="H41" i="43"/>
  <c r="C41" i="43"/>
  <c r="L41" i="43"/>
  <c r="AF58" i="43"/>
  <c r="AG58" i="43"/>
  <c r="AJ58" i="43"/>
  <c r="AF53" i="43"/>
  <c r="AG53" i="43"/>
  <c r="AJ53" i="43"/>
  <c r="AF57" i="43"/>
  <c r="AG57" i="43"/>
  <c r="AJ57" i="43"/>
  <c r="H6" i="42"/>
  <c r="AZ39" i="40"/>
  <c r="AZ40" i="40" s="1"/>
  <c r="AZ41" i="40" s="1"/>
  <c r="B34" i="43"/>
  <c r="B36" i="43"/>
  <c r="B35" i="43"/>
  <c r="B43" i="43"/>
  <c r="C61" i="42" l="1"/>
  <c r="C58" i="42"/>
  <c r="AX96" i="40"/>
  <c r="AX92" i="40"/>
  <c r="BA93" i="40" s="1"/>
  <c r="AZ93" i="40" s="1"/>
  <c r="AX94" i="40"/>
  <c r="BB95" i="40" s="1"/>
  <c r="AX101" i="40"/>
  <c r="H13" i="43"/>
  <c r="J13" i="43" s="1"/>
  <c r="J25" i="43" s="1"/>
  <c r="AY53" i="40" s="1"/>
  <c r="G8" i="43"/>
  <c r="AX95" i="40"/>
  <c r="N37" i="43"/>
  <c r="H12" i="43"/>
  <c r="AX98" i="40"/>
  <c r="BA99" i="40" s="1"/>
  <c r="AZ99" i="40" s="1"/>
  <c r="J12" i="43"/>
  <c r="AX91" i="40"/>
  <c r="BA92" i="40" s="1"/>
  <c r="AZ92" i="40" s="1"/>
  <c r="N42" i="43"/>
  <c r="AX39" i="40"/>
  <c r="AX93" i="40"/>
  <c r="BA94" i="40" s="1"/>
  <c r="AZ94" i="40" s="1"/>
  <c r="N33" i="43"/>
  <c r="AX97" i="40"/>
  <c r="N40" i="43"/>
  <c r="A34" i="43"/>
  <c r="A36" i="43"/>
  <c r="A40" i="43"/>
  <c r="A33" i="43"/>
  <c r="A35" i="43"/>
  <c r="A43" i="43"/>
  <c r="L32" i="43"/>
  <c r="A37" i="43"/>
  <c r="K32" i="43"/>
  <c r="A41" i="43"/>
  <c r="M32" i="43"/>
  <c r="A42" i="43"/>
  <c r="H32" i="43"/>
  <c r="A38" i="43"/>
  <c r="A39" i="43"/>
  <c r="AX90" i="40"/>
  <c r="N35" i="43"/>
  <c r="N38" i="43"/>
  <c r="BA90" i="40"/>
  <c r="N36" i="43"/>
  <c r="AX100" i="40"/>
  <c r="N34" i="43"/>
  <c r="B33" i="43"/>
  <c r="N41" i="43"/>
  <c r="N43" i="43"/>
  <c r="AE49" i="43"/>
  <c r="BA100" i="40"/>
  <c r="AZ100" i="40" s="1"/>
  <c r="N39" i="43"/>
  <c r="B40" i="43"/>
  <c r="C32" i="43"/>
  <c r="AK35" i="43" s="1"/>
  <c r="AY39" i="40"/>
  <c r="BB90" i="40"/>
  <c r="BB89" i="40"/>
  <c r="B32" i="43"/>
  <c r="G32" i="43"/>
  <c r="F25" i="43"/>
  <c r="E25" i="43"/>
  <c r="B41" i="43"/>
  <c r="A32" i="43"/>
  <c r="B39" i="43"/>
  <c r="G13" i="43"/>
  <c r="I13" i="43" s="1"/>
  <c r="B38" i="43"/>
  <c r="B42" i="43"/>
  <c r="AX49" i="40"/>
  <c r="AX43" i="40"/>
  <c r="W38" i="40"/>
  <c r="G53" i="40"/>
  <c r="AX42" i="40"/>
  <c r="K6" i="42"/>
  <c r="G17" i="42"/>
  <c r="L14" i="42"/>
  <c r="D108" i="42"/>
  <c r="G14" i="42"/>
  <c r="L6" i="42"/>
  <c r="D16" i="42"/>
  <c r="F14" i="42"/>
  <c r="L16" i="42"/>
  <c r="F17" i="42"/>
  <c r="C180" i="42"/>
  <c r="D6" i="42"/>
  <c r="C6" i="42"/>
  <c r="G6" i="42"/>
  <c r="I17" i="42"/>
  <c r="E6" i="42"/>
  <c r="B57" i="40"/>
  <c r="C60" i="42"/>
  <c r="C56" i="42"/>
  <c r="F6" i="42"/>
  <c r="F16" i="42"/>
  <c r="I16" i="42"/>
  <c r="L17" i="42"/>
  <c r="J6" i="42"/>
  <c r="D153" i="42"/>
  <c r="C170" i="42" s="1"/>
  <c r="G61" i="42"/>
  <c r="G16" i="42"/>
  <c r="N6" i="42"/>
  <c r="C101" i="42" s="1"/>
  <c r="I14" i="42"/>
  <c r="N36" i="40"/>
  <c r="C105" i="42"/>
  <c r="I6" i="42"/>
  <c r="AY41" i="40"/>
  <c r="AZ42" i="40"/>
  <c r="AY40" i="40"/>
  <c r="AX48" i="40"/>
  <c r="AX50" i="40"/>
  <c r="AX41" i="40"/>
  <c r="AX47" i="40"/>
  <c r="AZ37" i="40"/>
  <c r="AX44" i="40"/>
  <c r="AX46" i="40"/>
  <c r="AX40" i="40"/>
  <c r="AX45" i="40"/>
  <c r="F7" i="43"/>
  <c r="I12" i="43"/>
  <c r="G12" i="43"/>
  <c r="I29" i="43" l="1"/>
  <c r="I30" i="43" s="1"/>
  <c r="F57" i="43"/>
  <c r="G57" i="43" s="1"/>
  <c r="AB53" i="40"/>
  <c r="BA97" i="40"/>
  <c r="AZ97" i="40" s="1"/>
  <c r="BB97" i="40"/>
  <c r="BB93" i="40"/>
  <c r="BA95" i="40"/>
  <c r="AZ95" i="40" s="1"/>
  <c r="BB99" i="40"/>
  <c r="N32" i="43"/>
  <c r="BB98" i="40"/>
  <c r="BA98" i="40"/>
  <c r="AZ98" i="40" s="1"/>
  <c r="BB94" i="40"/>
  <c r="BB92" i="40"/>
  <c r="BB96" i="40"/>
  <c r="BA96" i="40"/>
  <c r="AZ96" i="40" s="1"/>
  <c r="AK55" i="43"/>
  <c r="BB101" i="40"/>
  <c r="BA101" i="40"/>
  <c r="AZ101" i="40" s="1"/>
  <c r="AK52" i="43"/>
  <c r="BA91" i="40"/>
  <c r="AZ91" i="40" s="1"/>
  <c r="BB91" i="40"/>
  <c r="E4" i="43"/>
  <c r="K33" i="42" s="1"/>
  <c r="I33" i="42" s="1"/>
  <c r="AK40" i="43"/>
  <c r="AK57" i="43"/>
  <c r="AK53" i="43"/>
  <c r="AK50" i="43"/>
  <c r="AE35" i="43"/>
  <c r="AF35" i="43" s="1"/>
  <c r="AG35" i="43" s="1"/>
  <c r="AK39" i="43"/>
  <c r="AK51" i="43"/>
  <c r="AK49" i="43"/>
  <c r="AK43" i="43"/>
  <c r="AE37" i="43"/>
  <c r="AE32" i="43"/>
  <c r="AF32" i="43" s="1"/>
  <c r="AG32" i="43" s="1"/>
  <c r="AE41" i="43"/>
  <c r="AF41" i="43" s="1"/>
  <c r="AG41" i="43" s="1"/>
  <c r="AE36" i="43"/>
  <c r="AF36" i="43" s="1"/>
  <c r="AG36" i="43" s="1"/>
  <c r="AK58" i="43"/>
  <c r="AE34" i="43"/>
  <c r="AF34" i="43" s="1"/>
  <c r="AG34" i="43" s="1"/>
  <c r="AE39" i="43"/>
  <c r="AJ39" i="43" s="1"/>
  <c r="AE42" i="43"/>
  <c r="AJ42" i="43" s="1"/>
  <c r="AE38" i="43"/>
  <c r="AJ38" i="43" s="1"/>
  <c r="AK56" i="43"/>
  <c r="AK36" i="43"/>
  <c r="AK60" i="43"/>
  <c r="AK54" i="43"/>
  <c r="AK38" i="43"/>
  <c r="AE33" i="43"/>
  <c r="AF33" i="43" s="1"/>
  <c r="AG33" i="43" s="1"/>
  <c r="AK32" i="43"/>
  <c r="AK41" i="43"/>
  <c r="AJ49" i="43"/>
  <c r="AF49" i="43"/>
  <c r="AG49" i="43" s="1"/>
  <c r="AK59" i="43"/>
  <c r="AK42" i="43"/>
  <c r="AK34" i="43"/>
  <c r="AE43" i="43"/>
  <c r="AF43" i="43" s="1"/>
  <c r="AG43" i="43" s="1"/>
  <c r="AE40" i="43"/>
  <c r="AF40" i="43" s="1"/>
  <c r="AG40" i="43" s="1"/>
  <c r="AK33" i="43"/>
  <c r="AK37" i="43"/>
  <c r="B44" i="43"/>
  <c r="I25" i="43"/>
  <c r="F56" i="43" s="1"/>
  <c r="G56" i="43" s="1"/>
  <c r="K13" i="43"/>
  <c r="N13" i="43" s="1"/>
  <c r="AX37" i="40"/>
  <c r="AS39" i="40" s="1"/>
  <c r="C76" i="42"/>
  <c r="D15" i="40" s="1"/>
  <c r="M6" i="42"/>
  <c r="C21" i="42" s="1"/>
  <c r="K7" i="42"/>
  <c r="H7" i="42"/>
  <c r="G7" i="42"/>
  <c r="J7" i="42"/>
  <c r="L7" i="42"/>
  <c r="F7" i="42"/>
  <c r="E7" i="42"/>
  <c r="E8" i="42" s="1"/>
  <c r="E9" i="42" s="1"/>
  <c r="E12" i="42" s="1"/>
  <c r="I7" i="42"/>
  <c r="AZ43" i="40"/>
  <c r="AY42" i="40"/>
  <c r="C22" i="42" l="1"/>
  <c r="J33" i="42"/>
  <c r="C20" i="42"/>
  <c r="D27" i="42" s="1"/>
  <c r="H56" i="43"/>
  <c r="C51" i="42" s="1"/>
  <c r="AF38" i="43"/>
  <c r="AG38" i="43" s="1"/>
  <c r="AJ32" i="43"/>
  <c r="AJ43" i="43"/>
  <c r="AJ36" i="43"/>
  <c r="AJ35" i="43"/>
  <c r="AF42" i="43"/>
  <c r="AG42" i="43" s="1"/>
  <c r="C124" i="42"/>
  <c r="AF39" i="43"/>
  <c r="AG39" i="43" s="1"/>
  <c r="AJ40" i="43"/>
  <c r="AJ33" i="43"/>
  <c r="AJ34" i="43"/>
  <c r="AF37" i="43"/>
  <c r="AG37" i="43" s="1"/>
  <c r="AJ37" i="43"/>
  <c r="AJ41" i="43"/>
  <c r="W54" i="43"/>
  <c r="AB35" i="43"/>
  <c r="T40" i="43"/>
  <c r="AB58" i="43"/>
  <c r="AA58" i="43"/>
  <c r="W53" i="43"/>
  <c r="S41" i="43"/>
  <c r="U50" i="43"/>
  <c r="T42" i="43"/>
  <c r="T43" i="43"/>
  <c r="Q43" i="43"/>
  <c r="R33" i="43"/>
  <c r="AB38" i="43"/>
  <c r="AB53" i="43"/>
  <c r="U36" i="43"/>
  <c r="S32" i="43"/>
  <c r="Z42" i="43"/>
  <c r="Q40" i="43"/>
  <c r="V34" i="43"/>
  <c r="V40" i="43"/>
  <c r="V51" i="43"/>
  <c r="Z55" i="43"/>
  <c r="Q33" i="43"/>
  <c r="S43" i="43"/>
  <c r="T37" i="43"/>
  <c r="T52" i="43"/>
  <c r="S37" i="43"/>
  <c r="AA38" i="43"/>
  <c r="X41" i="43"/>
  <c r="X32" i="43"/>
  <c r="S50" i="43"/>
  <c r="AB54" i="43"/>
  <c r="AA36" i="43"/>
  <c r="X50" i="43"/>
  <c r="V37" i="43"/>
  <c r="Y51" i="43"/>
  <c r="Y56" i="43"/>
  <c r="S39" i="43"/>
  <c r="Y38" i="43"/>
  <c r="Y55" i="43"/>
  <c r="T39" i="43"/>
  <c r="X35" i="43"/>
  <c r="U40" i="43"/>
  <c r="Q37" i="43"/>
  <c r="U37" i="43"/>
  <c r="Y33" i="43"/>
  <c r="U38" i="43"/>
  <c r="V52" i="43"/>
  <c r="X36" i="43"/>
  <c r="Z54" i="43"/>
  <c r="W52" i="43"/>
  <c r="U41" i="43"/>
  <c r="AB56" i="43"/>
  <c r="U52" i="43"/>
  <c r="W34" i="43"/>
  <c r="Q41" i="43"/>
  <c r="T51" i="43"/>
  <c r="V35" i="43"/>
  <c r="AB34" i="43"/>
  <c r="X39" i="43"/>
  <c r="T38" i="43"/>
  <c r="AB59" i="43"/>
  <c r="W49" i="43"/>
  <c r="X38" i="43"/>
  <c r="V39" i="43"/>
  <c r="Z53" i="43"/>
  <c r="X51" i="43"/>
  <c r="V38" i="43"/>
  <c r="Y39" i="43"/>
  <c r="X56" i="43"/>
  <c r="V42" i="43"/>
  <c r="U32" i="43"/>
  <c r="R36" i="43"/>
  <c r="Y36" i="43"/>
  <c r="S51" i="43"/>
  <c r="Q38" i="43"/>
  <c r="T34" i="43"/>
  <c r="Y32" i="43"/>
  <c r="Y49" i="43"/>
  <c r="Z34" i="43"/>
  <c r="X34" i="43"/>
  <c r="Y53" i="43"/>
  <c r="U42" i="43"/>
  <c r="AB43" i="43"/>
  <c r="AA35" i="43"/>
  <c r="W33" i="43"/>
  <c r="U43" i="43"/>
  <c r="AA53" i="43"/>
  <c r="W37" i="43"/>
  <c r="Z40" i="43"/>
  <c r="Z41" i="43"/>
  <c r="AA40" i="43"/>
  <c r="R37" i="43"/>
  <c r="Q42" i="43"/>
  <c r="R39" i="43"/>
  <c r="X33" i="43"/>
  <c r="T49" i="43"/>
  <c r="R32" i="43"/>
  <c r="X37" i="43"/>
  <c r="Z39" i="43"/>
  <c r="S49" i="43"/>
  <c r="Q36" i="43"/>
  <c r="AA57" i="43"/>
  <c r="Z52" i="43"/>
  <c r="Y57" i="43"/>
  <c r="X55" i="43"/>
  <c r="AB33" i="43"/>
  <c r="W35" i="43"/>
  <c r="AA54" i="43"/>
  <c r="W50" i="43"/>
  <c r="Y42" i="43"/>
  <c r="AA33" i="43"/>
  <c r="AA49" i="43"/>
  <c r="AA55" i="43"/>
  <c r="S33" i="43"/>
  <c r="V32" i="43"/>
  <c r="W38" i="43"/>
  <c r="AB51" i="43"/>
  <c r="R34" i="43"/>
  <c r="AA41" i="43"/>
  <c r="V54" i="43"/>
  <c r="T33" i="43"/>
  <c r="AB32" i="43"/>
  <c r="U53" i="43"/>
  <c r="S36" i="43"/>
  <c r="V41" i="43"/>
  <c r="Z43" i="43"/>
  <c r="R49" i="43"/>
  <c r="Z33" i="43"/>
  <c r="R35" i="43"/>
  <c r="AB49" i="43"/>
  <c r="AA39" i="43"/>
  <c r="AA34" i="43"/>
  <c r="Z56" i="43"/>
  <c r="R38" i="43"/>
  <c r="T35" i="43"/>
  <c r="U49" i="43"/>
  <c r="W39" i="43"/>
  <c r="U34" i="43"/>
  <c r="AA50" i="43"/>
  <c r="Y41" i="43"/>
  <c r="AB42" i="43"/>
  <c r="Y35" i="43"/>
  <c r="AA51" i="43"/>
  <c r="AB57" i="43"/>
  <c r="X52" i="43"/>
  <c r="W42" i="43"/>
  <c r="Y50" i="43"/>
  <c r="Z35" i="43"/>
  <c r="R42" i="43"/>
  <c r="Q35" i="43"/>
  <c r="AB37" i="43"/>
  <c r="AB39" i="43"/>
  <c r="T41" i="43"/>
  <c r="X53" i="43"/>
  <c r="Y37" i="43"/>
  <c r="Z58" i="43"/>
  <c r="R41" i="43"/>
  <c r="Y40" i="43"/>
  <c r="U33" i="43"/>
  <c r="Z32" i="43"/>
  <c r="AA42" i="43"/>
  <c r="Z38" i="43"/>
  <c r="Y54" i="43"/>
  <c r="Z57" i="43"/>
  <c r="V50" i="43"/>
  <c r="T32" i="43"/>
  <c r="AA59" i="43"/>
  <c r="T36" i="43"/>
  <c r="S38" i="43"/>
  <c r="Q39" i="43"/>
  <c r="Z49" i="43"/>
  <c r="V33" i="43"/>
  <c r="X54" i="43"/>
  <c r="T50" i="43"/>
  <c r="AB52" i="43"/>
  <c r="AB36" i="43"/>
  <c r="R43" i="43"/>
  <c r="S35" i="43"/>
  <c r="U39" i="43"/>
  <c r="S34" i="43"/>
  <c r="AA56" i="43"/>
  <c r="W40" i="43"/>
  <c r="W36" i="43"/>
  <c r="AB55" i="43"/>
  <c r="Z37" i="43"/>
  <c r="Y43" i="43"/>
  <c r="U35" i="43"/>
  <c r="AB40" i="43"/>
  <c r="W41" i="43"/>
  <c r="S40" i="43"/>
  <c r="W55" i="43"/>
  <c r="AA43" i="43"/>
  <c r="S42" i="43"/>
  <c r="W51" i="43"/>
  <c r="R40" i="43"/>
  <c r="Z50" i="43"/>
  <c r="V36" i="43"/>
  <c r="AA52" i="43"/>
  <c r="AA37" i="43"/>
  <c r="W32" i="43"/>
  <c r="Q49" i="43"/>
  <c r="Q61" i="43" s="1"/>
  <c r="J32" i="43" s="1"/>
  <c r="AA32" i="43"/>
  <c r="V43" i="43"/>
  <c r="Q34" i="43"/>
  <c r="R50" i="43"/>
  <c r="Y34" i="43"/>
  <c r="Y52" i="43"/>
  <c r="Z36" i="43"/>
  <c r="U51" i="43"/>
  <c r="X40" i="43"/>
  <c r="V49" i="43"/>
  <c r="AB60" i="43"/>
  <c r="V53" i="43"/>
  <c r="Z51" i="43"/>
  <c r="X49" i="43"/>
  <c r="AB41" i="43"/>
  <c r="X43" i="43"/>
  <c r="AB50" i="43"/>
  <c r="X42" i="43"/>
  <c r="W43" i="43"/>
  <c r="Q32" i="43"/>
  <c r="AT50" i="40"/>
  <c r="AT42" i="40"/>
  <c r="AT49" i="40"/>
  <c r="AT45" i="40"/>
  <c r="AT46" i="40"/>
  <c r="AT48" i="40"/>
  <c r="AT41" i="40"/>
  <c r="AT47" i="40"/>
  <c r="AT43" i="40"/>
  <c r="AT44" i="40"/>
  <c r="AT40" i="40"/>
  <c r="H4" i="43"/>
  <c r="C16" i="42" s="1"/>
  <c r="AX53" i="40"/>
  <c r="Q53" i="40"/>
  <c r="F8" i="42"/>
  <c r="F9" i="42" s="1"/>
  <c r="F12" i="42" s="1"/>
  <c r="AZ44" i="40"/>
  <c r="AY43" i="40"/>
  <c r="D22" i="42"/>
  <c r="E26" i="40" s="1"/>
  <c r="D29" i="42"/>
  <c r="D26" i="40"/>
  <c r="D20" i="40"/>
  <c r="D20" i="42"/>
  <c r="E20" i="40" s="1"/>
  <c r="D23" i="40"/>
  <c r="G8" i="42" l="1"/>
  <c r="G9" i="42" s="1"/>
  <c r="G12" i="42" s="1"/>
  <c r="C136" i="42"/>
  <c r="C50" i="42"/>
  <c r="C46" i="42"/>
  <c r="C47" i="42"/>
  <c r="C156" i="42"/>
  <c r="C160" i="42" s="1"/>
  <c r="C134" i="42"/>
  <c r="I56" i="43"/>
  <c r="I26" i="43" s="1"/>
  <c r="BF96" i="40" s="1"/>
  <c r="AD96" i="40" s="1"/>
  <c r="C154" i="42"/>
  <c r="C163" i="42" s="1"/>
  <c r="G140" i="42"/>
  <c r="C138" i="42"/>
  <c r="C139" i="42"/>
  <c r="C140" i="42"/>
  <c r="G52" i="42"/>
  <c r="C137" i="42"/>
  <c r="C135" i="42"/>
  <c r="C52" i="42"/>
  <c r="C152" i="42"/>
  <c r="C169" i="42" s="1"/>
  <c r="C48" i="42"/>
  <c r="C49" i="42"/>
  <c r="Z61" i="43"/>
  <c r="J41" i="43" s="1"/>
  <c r="S44" i="43"/>
  <c r="I34" i="43" s="1"/>
  <c r="AB44" i="43"/>
  <c r="I43" i="43" s="1"/>
  <c r="V61" i="43"/>
  <c r="J37" i="43" s="1"/>
  <c r="R61" i="43"/>
  <c r="J33" i="43" s="1"/>
  <c r="V44" i="43"/>
  <c r="I37" i="43" s="1"/>
  <c r="W61" i="43"/>
  <c r="J38" i="43" s="1"/>
  <c r="R44" i="43"/>
  <c r="I33" i="43" s="1"/>
  <c r="AA44" i="43"/>
  <c r="I42" i="43" s="1"/>
  <c r="T44" i="43"/>
  <c r="I35" i="43" s="1"/>
  <c r="W44" i="43"/>
  <c r="I38" i="43" s="1"/>
  <c r="Y61" i="43"/>
  <c r="J40" i="43" s="1"/>
  <c r="AB61" i="43"/>
  <c r="J43" i="43" s="1"/>
  <c r="Q44" i="43"/>
  <c r="I32" i="43" s="1"/>
  <c r="Y44" i="43"/>
  <c r="I40" i="43" s="1"/>
  <c r="X44" i="43"/>
  <c r="I39" i="43" s="1"/>
  <c r="T61" i="43"/>
  <c r="J35" i="43" s="1"/>
  <c r="X61" i="43"/>
  <c r="J39" i="43" s="1"/>
  <c r="U44" i="43"/>
  <c r="I36" i="43" s="1"/>
  <c r="Z44" i="43"/>
  <c r="I41" i="43" s="1"/>
  <c r="U61" i="43"/>
  <c r="J36" i="43" s="1"/>
  <c r="AA61" i="43"/>
  <c r="J42" i="43" s="1"/>
  <c r="S61" i="43"/>
  <c r="J34" i="43" s="1"/>
  <c r="H8" i="42"/>
  <c r="F29" i="42"/>
  <c r="H29" i="42"/>
  <c r="AX26" i="40"/>
  <c r="AY44" i="40"/>
  <c r="AZ45" i="40"/>
  <c r="F27" i="42"/>
  <c r="H27" i="42"/>
  <c r="AX20" i="40"/>
  <c r="G27" i="42"/>
  <c r="BE98" i="40" l="1"/>
  <c r="Y98" i="40" s="1"/>
  <c r="BE101" i="40"/>
  <c r="Y101" i="40" s="1"/>
  <c r="BE99" i="40"/>
  <c r="Y99" i="40" s="1"/>
  <c r="BE95" i="40"/>
  <c r="Y95" i="40" s="1"/>
  <c r="I27" i="43"/>
  <c r="BE92" i="40"/>
  <c r="Y92" i="40" s="1"/>
  <c r="BE89" i="40"/>
  <c r="Y89" i="40" s="1"/>
  <c r="BE91" i="40"/>
  <c r="Y91" i="40" s="1"/>
  <c r="BF94" i="40"/>
  <c r="AD94" i="40" s="1"/>
  <c r="BF89" i="40"/>
  <c r="AD89" i="40" s="1"/>
  <c r="BF95" i="40"/>
  <c r="AD95" i="40" s="1"/>
  <c r="C109" i="42"/>
  <c r="C55" i="42" s="1"/>
  <c r="BF92" i="40"/>
  <c r="AD92" i="40" s="1"/>
  <c r="BE93" i="40"/>
  <c r="Y93" i="40" s="1"/>
  <c r="BE90" i="40"/>
  <c r="Y90" i="40" s="1"/>
  <c r="BF93" i="40"/>
  <c r="AD93" i="40" s="1"/>
  <c r="R142" i="40"/>
  <c r="BF97" i="40"/>
  <c r="AD97" i="40" s="1"/>
  <c r="BE97" i="40"/>
  <c r="Y97" i="40" s="1"/>
  <c r="BE94" i="40"/>
  <c r="Y94" i="40" s="1"/>
  <c r="BE100" i="40"/>
  <c r="Y100" i="40" s="1"/>
  <c r="BE96" i="40"/>
  <c r="Y96" i="40" s="1"/>
  <c r="BF99" i="40"/>
  <c r="AD99" i="40" s="1"/>
  <c r="BF101" i="40"/>
  <c r="AD101" i="40" s="1"/>
  <c r="BF100" i="40"/>
  <c r="AD100" i="40" s="1"/>
  <c r="BF98" i="40"/>
  <c r="AD98" i="40" s="1"/>
  <c r="BF91" i="40"/>
  <c r="AD91" i="40" s="1"/>
  <c r="BF90" i="40"/>
  <c r="AD90" i="40" s="1"/>
  <c r="C111" i="42"/>
  <c r="AZ89" i="40"/>
  <c r="H9" i="42"/>
  <c r="H12" i="42" s="1"/>
  <c r="I8" i="42"/>
  <c r="I9" i="42" s="1"/>
  <c r="I12" i="42" s="1"/>
  <c r="AY45" i="40"/>
  <c r="AZ46" i="40"/>
  <c r="I27" i="42"/>
  <c r="J27" i="42" s="1"/>
  <c r="AZ90" i="40" l="1"/>
  <c r="AZ102" i="40" s="1"/>
  <c r="C171" i="42"/>
  <c r="C57" i="42"/>
  <c r="J8" i="42"/>
  <c r="E27" i="42"/>
  <c r="AY46" i="40"/>
  <c r="AZ47" i="40"/>
  <c r="J9" i="42" l="1"/>
  <c r="J12" i="42" s="1"/>
  <c r="K8" i="42"/>
  <c r="AZ48" i="40"/>
  <c r="AY47" i="40"/>
  <c r="K9" i="42" l="1"/>
  <c r="K12" i="42" s="1"/>
  <c r="C95" i="42" s="1"/>
  <c r="L120" i="40" s="1"/>
  <c r="L8" i="42"/>
  <c r="L9" i="42" s="1"/>
  <c r="L12" i="42" s="1"/>
  <c r="D21" i="42"/>
  <c r="E23" i="40" s="1"/>
  <c r="D28" i="42"/>
  <c r="AY48" i="40"/>
  <c r="AZ49" i="40"/>
  <c r="F34" i="42" l="1"/>
  <c r="F28" i="42"/>
  <c r="H28" i="42"/>
  <c r="AX23" i="40"/>
  <c r="AZ50" i="40"/>
  <c r="AY50" i="40" s="1"/>
  <c r="AY49" i="40"/>
  <c r="I29" i="42" l="1"/>
  <c r="I28" i="42"/>
  <c r="J28" i="42" s="1"/>
  <c r="E28" i="42" s="1"/>
  <c r="AY51" i="40"/>
  <c r="W49" i="40" s="1"/>
  <c r="J29" i="42" l="1"/>
  <c r="E29" i="42" s="1"/>
  <c r="W39" i="40"/>
  <c r="W41" i="40"/>
  <c r="D30" i="42"/>
  <c r="E34" i="42" s="1"/>
  <c r="W40" i="40"/>
  <c r="W42" i="40"/>
  <c r="W43" i="40"/>
  <c r="W44" i="40"/>
  <c r="W45" i="40"/>
  <c r="W46" i="40"/>
  <c r="W47" i="40"/>
  <c r="W48" i="40"/>
  <c r="W50" i="40"/>
  <c r="H30" i="42" l="1"/>
  <c r="I30" i="42" s="1"/>
  <c r="J30" i="42" s="1"/>
  <c r="F30" i="42"/>
  <c r="D31" i="42"/>
  <c r="C102" i="42"/>
  <c r="C37" i="42" s="1"/>
  <c r="AS70" i="40" l="1"/>
  <c r="C84" i="42"/>
  <c r="E34" i="40" s="1"/>
  <c r="C82" i="42"/>
  <c r="G30" i="40" s="1"/>
  <c r="C73" i="42"/>
  <c r="C7" i="40" s="1"/>
  <c r="C79" i="42"/>
  <c r="G18" i="40" s="1"/>
  <c r="D64" i="40"/>
  <c r="D65" i="40"/>
  <c r="Y65" i="40"/>
  <c r="D59" i="40"/>
  <c r="AS56" i="40" s="1"/>
  <c r="AS142" i="40"/>
  <c r="E30" i="42"/>
  <c r="B40" i="42"/>
  <c r="B39" i="42"/>
  <c r="B38" i="42"/>
  <c r="B41" i="42"/>
  <c r="C40" i="42" l="1"/>
  <c r="D62" i="40" s="1"/>
  <c r="C62" i="40" s="1"/>
  <c r="C39" i="42"/>
  <c r="D61" i="40" s="1"/>
  <c r="C61" i="40" s="1"/>
  <c r="C41" i="42"/>
  <c r="D63" i="40" s="1"/>
  <c r="C63" i="40" s="1"/>
  <c r="C59" i="42"/>
  <c r="C38" i="42"/>
  <c r="D60" i="40" s="1"/>
  <c r="C60" i="40" s="1"/>
  <c r="C173" i="42"/>
  <c r="AS34" i="40"/>
  <c r="H36" i="40"/>
  <c r="Z142" i="40"/>
  <c r="T142" i="40"/>
  <c r="C129" i="42"/>
  <c r="G28" i="42" s="1"/>
  <c r="AS18" i="40"/>
  <c r="AS30" i="40"/>
  <c r="AS7" i="40"/>
  <c r="AB68" i="40"/>
  <c r="AF68" i="40" s="1"/>
  <c r="B68" i="40"/>
  <c r="H68" i="40" s="1"/>
  <c r="G29" i="42" l="1"/>
  <c r="C91" i="42" l="1"/>
  <c r="E107" i="40" s="1"/>
  <c r="C107" i="40" s="1"/>
  <c r="C90" i="42" l="1"/>
  <c r="E106" i="40" l="1"/>
  <c r="C106" i="40" s="1"/>
  <c r="C89" i="42"/>
  <c r="E105" i="40" l="1"/>
  <c r="C105" i="40" s="1"/>
  <c r="C88" i="42"/>
  <c r="E104" i="40" s="1"/>
  <c r="C104" i="40" s="1"/>
</calcChain>
</file>

<file path=xl/sharedStrings.xml><?xml version="1.0" encoding="utf-8"?>
<sst xmlns="http://schemas.openxmlformats.org/spreadsheetml/2006/main" count="649" uniqueCount="444">
  <si>
    <t>DTA Calculator for Personal Services Rendered by Employees / Certificate of Residence</t>
  </si>
  <si>
    <t>(To determine if tax exemption applies for personal services rendered by an individual in Singapore for a foreign company)</t>
  </si>
  <si>
    <r>
      <t xml:space="preserve">The calculator is correct as of </t>
    </r>
    <r>
      <rPr>
        <sz val="10"/>
        <color indexed="10"/>
        <rFont val="Calibri"/>
        <family val="2"/>
      </rPr>
      <t xml:space="preserve"> 30 Sep 2026.</t>
    </r>
    <r>
      <rPr>
        <sz val="10"/>
        <color indexed="8"/>
        <rFont val="Calibri"/>
        <family val="2"/>
      </rPr>
      <t xml:space="preserve">  Please check the IRAS website at </t>
    </r>
    <r>
      <rPr>
        <u/>
        <sz val="10"/>
        <color indexed="8"/>
        <rFont val="Calibri"/>
        <family val="2"/>
      </rPr>
      <t>www.iras.gov.sg</t>
    </r>
    <r>
      <rPr>
        <sz val="10"/>
        <color indexed="8"/>
        <rFont val="Calibri"/>
        <family val="2"/>
      </rPr>
      <t xml:space="preserve"> for the latest version.
The calculator provides results based on the stated assumptions and your inputs.  It may not provide for all possible scenarios.</t>
    </r>
  </si>
  <si>
    <t>Instructions</t>
  </si>
  <si>
    <t>conditional formatting to provide link to results</t>
  </si>
  <si>
    <t>Section 1 - Please select country/region</t>
  </si>
  <si>
    <t>Your country/region of residence</t>
  </si>
  <si>
    <t>Section 2 -</t>
  </si>
  <si>
    <t>Yes</t>
  </si>
  <si>
    <t>No</t>
  </si>
  <si>
    <t>Section 3 -</t>
  </si>
  <si>
    <t>From</t>
  </si>
  <si>
    <t>to</t>
  </si>
  <si>
    <t>Date validation to prevent entering dates when alrdy disqualified:</t>
  </si>
  <si>
    <t>Valid dates for the error checks below:</t>
  </si>
  <si>
    <t>Date From</t>
  </si>
  <si>
    <t>Date To</t>
  </si>
  <si>
    <t>To error if moving &amp; "Date To" is &gt;12mths from "Date From" of "Period 1":</t>
  </si>
  <si>
    <t>Check to highlight "Period" cell</t>
  </si>
  <si>
    <t>Error Message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</si>
  <si>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</si>
  <si>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</si>
  <si>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</si>
  <si>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</si>
  <si>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</si>
  <si>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</si>
  <si>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</si>
  <si>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</si>
  <si>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Period 9</t>
  </si>
  <si>
    <t>Period 10</t>
  </si>
  <si>
    <t>Period 11</t>
  </si>
  <si>
    <t>Period 12</t>
  </si>
  <si>
    <t>RESULT</t>
  </si>
  <si>
    <r>
      <t xml:space="preserve">   </t>
    </r>
    <r>
      <rPr>
        <b/>
        <sz val="11"/>
        <color indexed="9"/>
        <rFont val="Century Gothic"/>
        <family val="2"/>
      </rPr>
      <t xml:space="preserve">  Claim for DTA exemption (for services rendered by employees of foreign employers)                                                     [Page 2]</t>
    </r>
  </si>
  <si>
    <t>It may take you about 5 minutes to fill in the information in the shaded fields below.</t>
  </si>
  <si>
    <t>Important notes:</t>
  </si>
  <si>
    <t>The Comptroller of Income Tax reserves the right to determine whether the employee qualifies for exemption.</t>
  </si>
  <si>
    <t>Pages 1 and 2 must be completed and signed by the employee and the foreign employer. Page 3 (Certificate of Residence) must bear the original endorsement from the relevant foreign tax authority. Please note that incomplete forms will not be accepted.</t>
  </si>
  <si>
    <t>PART 1: PARTICULARS OF EMPLOYEE</t>
  </si>
  <si>
    <t>Full Name:</t>
  </si>
  <si>
    <t>FIN / Passport No.:</t>
  </si>
  <si>
    <t>Date of Birth:</t>
  </si>
  <si>
    <t>Citizenship:</t>
  </si>
  <si>
    <t>Mailing Address:</t>
  </si>
  <si>
    <t>Country/Region:</t>
  </si>
  <si>
    <t>Email:</t>
  </si>
  <si>
    <t>PART 2 : DECLARATION BY EMPLOYEE</t>
  </si>
  <si>
    <t>Original display</t>
  </si>
  <si>
    <t>Enhancement made so that for calendar period, only the part that qualifies will be shown to TP.</t>
  </si>
  <si>
    <r>
      <t xml:space="preserve">Name and Address of </t>
    </r>
    <r>
      <rPr>
        <b/>
        <sz val="12"/>
        <rFont val="Calibri"/>
        <family val="2"/>
      </rPr>
      <t>Foreign Employer</t>
    </r>
  </si>
  <si>
    <t>Period of stay in Singapore</t>
  </si>
  <si>
    <t>Gross Income
(S$)</t>
  </si>
  <si>
    <t>Dates to be populated</t>
  </si>
  <si>
    <t>(If overlap exists)</t>
  </si>
  <si>
    <t>Period of Employment</t>
  </si>
  <si>
    <t>To</t>
  </si>
  <si>
    <t>Overlap has occurred</t>
  </si>
  <si>
    <t xml:space="preserve">I, </t>
  </si>
  <si>
    <t>declare that the information furnished above are to the best of my</t>
  </si>
  <si>
    <t>knowledge and belief, a true and correct account of my income accrued in, derived from or received in Singapore.</t>
  </si>
  <si>
    <t>Name of Employee</t>
  </si>
  <si>
    <t>Signature of Employee</t>
  </si>
  <si>
    <t>Date</t>
  </si>
  <si>
    <t>Telephone No.</t>
  </si>
  <si>
    <t>PART 3 : CERTIFICATION BY FOREIGN EMPLOYER</t>
  </si>
  <si>
    <t xml:space="preserve">I, the undersigned, certify:   a) </t>
  </si>
  <si>
    <t xml:space="preserve">b) </t>
  </si>
  <si>
    <t>Name of Foreign Employer</t>
  </si>
  <si>
    <t>Name of Authorised Person</t>
  </si>
  <si>
    <t>Designation</t>
  </si>
  <si>
    <t>Signature &amp; Date</t>
  </si>
  <si>
    <t>There are penalties for furnishing an incorrect form.</t>
  </si>
  <si>
    <t>55 Newton Road, Revenue House, Singapore 307987</t>
  </si>
  <si>
    <r>
      <t>For enquiries, email IRAS at taxqueries</t>
    </r>
    <r>
      <rPr>
        <u/>
        <sz val="10"/>
        <rFont val="Century Gothic"/>
        <family val="2"/>
      </rPr>
      <t>@iras.gov.sg</t>
    </r>
    <r>
      <rPr>
        <sz val="10"/>
        <rFont val="Century Gothic"/>
        <family val="2"/>
      </rPr>
      <t xml:space="preserve"> or call 1800-3568300</t>
    </r>
  </si>
  <si>
    <t>Page 2 of 3</t>
  </si>
  <si>
    <t xml:space="preserve">     Certificate of Residence (to be completed by foreign tax authority)</t>
  </si>
  <si>
    <t>[Page 3]</t>
  </si>
  <si>
    <t>Name of Employee:</t>
  </si>
  <si>
    <t>To: The Comptroller of Income Tax, Singapore</t>
  </si>
  <si>
    <t>Certificate of Residence For the Year 20</t>
  </si>
  <si>
    <t>conditional formatting to show double year.</t>
  </si>
  <si>
    <t xml:space="preserve">In Compliance with the convention between </t>
  </si>
  <si>
    <t xml:space="preserve">and Singapore for the Avoidance of Double </t>
  </si>
  <si>
    <t>Taxation and the Prevention of Fiscal Evasion with respect to Taxes on Income, we hereby certify that the above individual is</t>
  </si>
  <si>
    <t>a resident of</t>
  </si>
  <si>
    <t>for tax purposes and subject to tax in</t>
  </si>
  <si>
    <t>in respect of the income stated above.</t>
  </si>
  <si>
    <t>Name of Competent Authority:</t>
  </si>
  <si>
    <t>:</t>
  </si>
  <si>
    <t>Designation of Competent Authority:</t>
  </si>
  <si>
    <t>Signature of Competent Authority:</t>
  </si>
  <si>
    <t>Date:</t>
  </si>
  <si>
    <t>Address of Competent Authority:</t>
  </si>
  <si>
    <t>Country/ Region:</t>
  </si>
  <si>
    <t>Official Stamp of Competent Authority:</t>
  </si>
  <si>
    <t>Page 3 of 3</t>
  </si>
  <si>
    <t>Countries</t>
  </si>
  <si>
    <t>Conditions</t>
  </si>
  <si>
    <t>S/No</t>
  </si>
  <si>
    <t>Stay =/&lt; 183 days in a calendar year</t>
  </si>
  <si>
    <t>Stay =/&lt; 183 days in moving 12-mth period</t>
  </si>
  <si>
    <t>Remuneration paid by / on behalf of employer who is not a resident of Singapore</t>
  </si>
  <si>
    <t>Remuneration paid by / on behalf of employer who is a resident of TP's country of residence</t>
  </si>
  <si>
    <t>Remuneration paid by / on behalf of employer who is a resident of TP's country of residence and whose activity does not consist of hiring out of labour</t>
  </si>
  <si>
    <t>Services are performed for / on behalf of employer who is not a resident of Singapore</t>
  </si>
  <si>
    <t>Services performed for / on behalf of employer who is a resident of TP's country of residence</t>
  </si>
  <si>
    <t>Remuneration not borne by PE or fixed base which the employer has in Singapore</t>
  </si>
  <si>
    <t>Remuneration not (directly) deductible  from profits for Singapore tax purpose of a PE in Singapore</t>
  </si>
  <si>
    <t>Remuneration / profits subject to tax in TP's country of residence</t>
  </si>
  <si>
    <t>Total no of conditions to be met</t>
  </si>
  <si>
    <t xml:space="preserve">Effective date </t>
  </si>
  <si>
    <t>Effective YA</t>
  </si>
  <si>
    <t>Remarks</t>
  </si>
  <si>
    <t>Albania</t>
  </si>
  <si>
    <t>1.1.2012</t>
  </si>
  <si>
    <t>YA 2013</t>
  </si>
  <si>
    <t>Armenia</t>
  </si>
  <si>
    <t>1.1.2022</t>
  </si>
  <si>
    <t>YA 2023</t>
  </si>
  <si>
    <t>Australia</t>
  </si>
  <si>
    <t>1.1.1969</t>
  </si>
  <si>
    <t>YA 1970</t>
  </si>
  <si>
    <t>Austria</t>
  </si>
  <si>
    <t>1.1.2003</t>
  </si>
  <si>
    <t>YA 2004</t>
  </si>
  <si>
    <t>Bahrain</t>
  </si>
  <si>
    <t>1.1.2005</t>
  </si>
  <si>
    <t>YA 2006</t>
  </si>
  <si>
    <t>Bangladesh</t>
  </si>
  <si>
    <t>1.1.1979</t>
  </si>
  <si>
    <t>YA1980</t>
  </si>
  <si>
    <t>Barbados</t>
  </si>
  <si>
    <t>1.1.2015</t>
  </si>
  <si>
    <t>YA2016</t>
  </si>
  <si>
    <t>Belarus</t>
  </si>
  <si>
    <t>1.1.2014</t>
  </si>
  <si>
    <t>YA 2015</t>
  </si>
  <si>
    <t>Belgium</t>
  </si>
  <si>
    <t>1.1.2009</t>
  </si>
  <si>
    <t>YA2010</t>
  </si>
  <si>
    <t>Brazil</t>
  </si>
  <si>
    <t>YA2023</t>
  </si>
  <si>
    <t>Brunei</t>
  </si>
  <si>
    <t>1.1.2007</t>
  </si>
  <si>
    <t>YA2008</t>
  </si>
  <si>
    <t>Bulgaria</t>
  </si>
  <si>
    <t>1.1.1998</t>
  </si>
  <si>
    <t>YA1999</t>
  </si>
  <si>
    <t>Cambodia</t>
  </si>
  <si>
    <t>1.1.2018</t>
  </si>
  <si>
    <t>YA 2019</t>
  </si>
  <si>
    <t>Canada</t>
  </si>
  <si>
    <t>1.1.1977</t>
  </si>
  <si>
    <t>YA1978</t>
  </si>
  <si>
    <t>not borne directly or indirectly</t>
  </si>
  <si>
    <t>Chile</t>
  </si>
  <si>
    <t>Limited treaty</t>
  </si>
  <si>
    <t>China</t>
  </si>
  <si>
    <t>1.1.2008</t>
  </si>
  <si>
    <t>YA2009</t>
  </si>
  <si>
    <t>Cyprus</t>
  </si>
  <si>
    <t>1.1.2002</t>
  </si>
  <si>
    <t>YA2003</t>
  </si>
  <si>
    <t>Czech Republic</t>
  </si>
  <si>
    <t>1.1.1999</t>
  </si>
  <si>
    <t>YA2000</t>
  </si>
  <si>
    <t>Denmark</t>
  </si>
  <si>
    <t>1.1.2001</t>
  </si>
  <si>
    <t>YA2002</t>
  </si>
  <si>
    <t>Ecuador</t>
  </si>
  <si>
    <t>1.1.2016</t>
  </si>
  <si>
    <t>YA 2017</t>
  </si>
  <si>
    <t>Egypt</t>
  </si>
  <si>
    <t>YA2006</t>
  </si>
  <si>
    <t>Estonia</t>
  </si>
  <si>
    <t>Ethiopia</t>
  </si>
  <si>
    <t>Fiji</t>
  </si>
  <si>
    <t>Finland</t>
  </si>
  <si>
    <t>YA2004</t>
  </si>
  <si>
    <t>France</t>
  </si>
  <si>
    <t>1.1.2017</t>
  </si>
  <si>
    <t>YA 2018</t>
  </si>
  <si>
    <t>Georgia</t>
  </si>
  <si>
    <t>1.1.2011</t>
  </si>
  <si>
    <t>YA2012</t>
  </si>
  <si>
    <t>Germany</t>
  </si>
  <si>
    <t>Ghana</t>
  </si>
  <si>
    <t>1.1.2020</t>
  </si>
  <si>
    <t>YA2021</t>
  </si>
  <si>
    <t>Greece</t>
  </si>
  <si>
    <t>1.1.2023</t>
  </si>
  <si>
    <t>YA2024</t>
  </si>
  <si>
    <t>Guernsey</t>
  </si>
  <si>
    <t>YA2015</t>
  </si>
  <si>
    <t>Hong Kong</t>
  </si>
  <si>
    <t>Hungary</t>
  </si>
  <si>
    <t>India</t>
  </si>
  <si>
    <t>1.1.1994</t>
  </si>
  <si>
    <t>YA1995</t>
  </si>
  <si>
    <t>Indonesia</t>
  </si>
  <si>
    <t>Ireland</t>
  </si>
  <si>
    <t>YA 2012</t>
  </si>
  <si>
    <t>Isle of Man</t>
  </si>
  <si>
    <t>Israel</t>
  </si>
  <si>
    <t>1.1.2006</t>
  </si>
  <si>
    <t>YA2007</t>
  </si>
  <si>
    <t>Italy</t>
  </si>
  <si>
    <t>1.1.1975</t>
  </si>
  <si>
    <t>YA1976</t>
  </si>
  <si>
    <t>Japan</t>
  </si>
  <si>
    <t>1.1.1996</t>
  </si>
  <si>
    <t>YA1997</t>
  </si>
  <si>
    <t>Jersey</t>
  </si>
  <si>
    <t>Jordan</t>
  </si>
  <si>
    <t>Kazakhstan</t>
  </si>
  <si>
    <t>Kenya</t>
  </si>
  <si>
    <t>1.1.2027</t>
  </si>
  <si>
    <t>YA2028</t>
  </si>
  <si>
    <t>NEW</t>
  </si>
  <si>
    <t>Kuwait</t>
  </si>
  <si>
    <t>1.1.2004</t>
  </si>
  <si>
    <t>YA2005</t>
  </si>
  <si>
    <t>Laos</t>
  </si>
  <si>
    <t>Latvia</t>
  </si>
  <si>
    <t>Libya</t>
  </si>
  <si>
    <t>Liechtenstein</t>
  </si>
  <si>
    <t>Lithuania</t>
  </si>
  <si>
    <t>Luxembourg</t>
  </si>
  <si>
    <t>Malaysia</t>
  </si>
  <si>
    <t>Malta</t>
  </si>
  <si>
    <t>Mauritius</t>
  </si>
  <si>
    <t>1.1.1997</t>
  </si>
  <si>
    <t>YA 1998</t>
  </si>
  <si>
    <t>Mexico</t>
  </si>
  <si>
    <t>YA 1997</t>
  </si>
  <si>
    <t>Mongolia</t>
  </si>
  <si>
    <t>Morocco</t>
  </si>
  <si>
    <t>YA 2016</t>
  </si>
  <si>
    <t>Myanmar</t>
  </si>
  <si>
    <t>1.1.2010</t>
  </si>
  <si>
    <t>YA 2011</t>
  </si>
  <si>
    <t>Netherlands</t>
  </si>
  <si>
    <t>1.1.1968</t>
  </si>
  <si>
    <t>YA 1969</t>
  </si>
  <si>
    <t>New Zealand</t>
  </si>
  <si>
    <t>Earlier convention signed on 1973 that covers personal service states "not borne by'</t>
  </si>
  <si>
    <t>Nigeria</t>
  </si>
  <si>
    <t>1.1.2019</t>
  </si>
  <si>
    <t>YA 2020</t>
  </si>
  <si>
    <t>Norway</t>
  </si>
  <si>
    <t>YA 2000</t>
  </si>
  <si>
    <t>Oman</t>
  </si>
  <si>
    <t>YA 2008</t>
  </si>
  <si>
    <t>Pakistan</t>
  </si>
  <si>
    <t>1.1.1987</t>
  </si>
  <si>
    <t>YA 1988</t>
  </si>
  <si>
    <t>Panama</t>
  </si>
  <si>
    <t>Papua New Guinea</t>
  </si>
  <si>
    <t>1.1.1993</t>
  </si>
  <si>
    <t>YA 1994</t>
  </si>
  <si>
    <t>Philippines</t>
  </si>
  <si>
    <t>YA 1978</t>
  </si>
  <si>
    <t>Poland</t>
  </si>
  <si>
    <t>Portugal</t>
  </si>
  <si>
    <t>YA 2003</t>
  </si>
  <si>
    <t>Qatar</t>
  </si>
  <si>
    <t>YA 2009</t>
  </si>
  <si>
    <t>Romania</t>
  </si>
  <si>
    <t>Russia Federation</t>
  </si>
  <si>
    <t>Rwanda</t>
  </si>
  <si>
    <t>San Marino</t>
  </si>
  <si>
    <t>Saudi Arabia</t>
  </si>
  <si>
    <t>Calculator caters for 182 days instead of 183 days.</t>
  </si>
  <si>
    <t>Serbia</t>
  </si>
  <si>
    <t>Seychelles</t>
  </si>
  <si>
    <t>Slovak Republic</t>
  </si>
  <si>
    <t>Slovenia</t>
  </si>
  <si>
    <t>South Africa</t>
  </si>
  <si>
    <t>YA 1999</t>
  </si>
  <si>
    <t>South Korea</t>
  </si>
  <si>
    <t>YA 2021</t>
  </si>
  <si>
    <t>Spain</t>
  </si>
  <si>
    <t>1.1.2013</t>
  </si>
  <si>
    <t>YA 2014</t>
  </si>
  <si>
    <t>Sri Lanka</t>
  </si>
  <si>
    <t>Sweden</t>
  </si>
  <si>
    <t>1.1.1966</t>
  </si>
  <si>
    <t>YA 1967</t>
  </si>
  <si>
    <t>Switzerland</t>
  </si>
  <si>
    <t>Personal Services article shifted from 14(2) to 15(2)</t>
  </si>
  <si>
    <t>Taiwan</t>
  </si>
  <si>
    <t>YA 2028</t>
  </si>
  <si>
    <t>Thailand</t>
  </si>
  <si>
    <t>Tunisa</t>
  </si>
  <si>
    <t>Türkiye</t>
  </si>
  <si>
    <t xml:space="preserve">Turkmenistan </t>
  </si>
  <si>
    <t>1.1.2021</t>
  </si>
  <si>
    <t>YA 2022</t>
  </si>
  <si>
    <t>Ukraine</t>
  </si>
  <si>
    <t>United Arab Emirates</t>
  </si>
  <si>
    <t>1.1.1992</t>
  </si>
  <si>
    <t>YA 1993</t>
  </si>
  <si>
    <t>United Kingdom</t>
  </si>
  <si>
    <t>United States of America</t>
  </si>
  <si>
    <t>Uruguay</t>
  </si>
  <si>
    <t>Uzbekistan</t>
  </si>
  <si>
    <t>YA 2010</t>
  </si>
  <si>
    <t>Vietnam</t>
  </si>
  <si>
    <t>Total</t>
  </si>
  <si>
    <t>Criteria</t>
  </si>
  <si>
    <t>Newly Effective since..</t>
  </si>
  <si>
    <t>To derive Question No. - step 1</t>
  </si>
  <si>
    <t>To derive Question No. - step 2</t>
  </si>
  <si>
    <t>Question no.</t>
  </si>
  <si>
    <t>Corresponding question</t>
  </si>
  <si>
    <t>Is your remuneration paid by your foreign employer or by a company on behalf of your foreign employer?</t>
  </si>
  <si>
    <t>Are you performing services in Singapore for your foreign employer or for a company on behalf of your foreign employer?</t>
  </si>
  <si>
    <t>Is your remuneration borne by a permanent establishment or a fixed base (e.g. a place of management, a branch, an office) which your foreign employer has in Singapore?</t>
  </si>
  <si>
    <t>Corresponding answer to qualify</t>
  </si>
  <si>
    <t>Error message</t>
  </si>
  <si>
    <t>Your remuneration is not paid by your foreign employer or by a company on behalf of your foreign employer.</t>
  </si>
  <si>
    <t>Services performed in Singapore are not for your foreign employer or for a company on behalf of your foreign employer.</t>
  </si>
  <si>
    <t>Your remuneration is borne by a permanent establishment or a fixed base which your foreign employer has in Singapore.</t>
  </si>
  <si>
    <t>Populated for Tax Officer's Review (Employee declaration)</t>
  </si>
  <si>
    <t>my remuneration is paid by my foreign employer or by a company on behalf of my foreign employer</t>
  </si>
  <si>
    <t>services performed in Singapore are for my foreign employer or for a company on behalf of my foreign employer</t>
  </si>
  <si>
    <t>my remuneration is not borne by a permanent establishment or a fixed base which my foreign employer has in Singapore</t>
  </si>
  <si>
    <t>Populated for Tax Officer's Review (Employer declaration)</t>
  </si>
  <si>
    <t>the employee's remuneration is not borne by a permanent establishment or a fixed base which we have in Singapore.</t>
  </si>
  <si>
    <t>Results</t>
  </si>
  <si>
    <t>Qualify?</t>
  </si>
  <si>
    <t>Error Count</t>
  </si>
  <si>
    <t>Results Message</t>
  </si>
  <si>
    <t>Populated for Tax Officer's review</t>
  </si>
  <si>
    <t>To derive error count - step 1</t>
  </si>
  <si>
    <t>To derive error count - step 2</t>
  </si>
  <si>
    <t>Error count</t>
  </si>
  <si>
    <t>No. of days</t>
  </si>
  <si>
    <t>Overall</t>
  </si>
  <si>
    <t>-</t>
  </si>
  <si>
    <t>Section 2</t>
  </si>
  <si>
    <t>All questions answered?</t>
  </si>
  <si>
    <t>Results Box</t>
  </si>
  <si>
    <t>&gt;&gt;&gt; when does not qualify</t>
  </si>
  <si>
    <t>&gt;&gt;&gt; when qualifies</t>
  </si>
  <si>
    <t>&gt;&gt;&gt; when calendar year and qualify for one of the years only</t>
  </si>
  <si>
    <t>&gt;&gt;&gt; when limited DTA</t>
  </si>
  <si>
    <t>Section 1 - the portion below "Country/Region of Residence"</t>
  </si>
  <si>
    <t>Section 2 Title Bar</t>
  </si>
  <si>
    <t>Section 3 Title Bar</t>
  </si>
  <si>
    <t>(Employee) Declaration under claim for DTA exemption</t>
  </si>
  <si>
    <t>I declare that:-</t>
  </si>
  <si>
    <t>(Employer) Declaration under claim for DTA exemption</t>
  </si>
  <si>
    <t>the period of stay in Singapore of the abovementioned employee is correct; and</t>
  </si>
  <si>
    <t>Messages</t>
  </si>
  <si>
    <t>The current limited DTA does not provide for tax exemption for dependent personal services rendered by employees.</t>
  </si>
  <si>
    <t>The current limited DTA does not provide for tax exemption for dependent personal services rendered by employees. Please see result below.</t>
  </si>
  <si>
    <t>You may use this calculator to check whether you are eligible for DTA exemption, if all your visits fall within any 12-month period. Otherwise, please email us with the relevant information requested under Section 2 and Section 3 to check your eligibility via:
(1) myTaxMail on myTax Portal using your Singpass or Singpass Foreign user Account (SFA); or 
(2) the online forms available on https://www.iras.gov.sg/contact-us.</t>
  </si>
  <si>
    <t>Your income attributable to your services rendered in Singapore will be subject to tax in Singapore.</t>
  </si>
  <si>
    <t>For more information on your tax obligations, please click on</t>
  </si>
  <si>
    <t>To claim exemption from Singapore income tax, please submit the completed and signed Claim Form (page 2) and original Certificate of Residence (page 3) below to the Comptroller of Income Tax.</t>
  </si>
  <si>
    <t xml:space="preserve">      for the following reason:</t>
  </si>
  <si>
    <t>Please select your country/region of residence under Section 1.</t>
  </si>
  <si>
    <t>Please answer the questions under Section 2.</t>
  </si>
  <si>
    <t>Please complete the schedule of days spent in Singapore under Section 3.</t>
  </si>
  <si>
    <t>You do not qualify for tax exemption, please refer to "Result" for information on your tax obligations.</t>
  </si>
  <si>
    <t>The current limited DTA does not provide for tax exemption for dependent personal services rendered by employees. Please refer to "Result" for information on your tax obligations.</t>
  </si>
  <si>
    <t>Please refer to steps on how to claim for tax exemption under "Result".</t>
  </si>
  <si>
    <t>Please select a country/region under Section 1.</t>
  </si>
  <si>
    <t>Please refer to results below.</t>
  </si>
  <si>
    <t>Please answer the questions below.</t>
  </si>
  <si>
    <t>Schedule of days spent in Singapore (include weekends)</t>
  </si>
  <si>
    <t xml:space="preserve">Please enter your current and prior visit(s), if any:- </t>
  </si>
  <si>
    <t>You need not complete the schedule of days spent in Singapore. Please scroll down to page 2 for the results.</t>
  </si>
  <si>
    <t>Results header for 12-month moving :</t>
  </si>
  <si>
    <t>(for visits within a 12-month period only)</t>
  </si>
  <si>
    <t>&gt;&gt;&gt; When Luxembourg and Yes for 2015</t>
  </si>
  <si>
    <t>These changes were made in YA16 to cater to Luxembourg having new DTA conditions wef YA17 - (calendar basis up till 31 Dec 2015, moving period basis from 1 Jan 2016 onwards).</t>
  </si>
  <si>
    <t>Hardcoded exceptions for countries below due to change in conditions for DTA</t>
  </si>
  <si>
    <t>For Luxembourg.</t>
  </si>
  <si>
    <t>Cells where hardcoding exists for Luxembourg:</t>
  </si>
  <si>
    <t>Sheet</t>
  </si>
  <si>
    <t>Cell</t>
  </si>
  <si>
    <t>days</t>
  </si>
  <si>
    <t>NRE Calculator</t>
  </si>
  <si>
    <t>calcNresults</t>
  </si>
  <si>
    <t>&gt;&gt;&gt; When Luxembourg + YesYes</t>
  </si>
  <si>
    <t>&gt;&gt;&gt; When Luxembourg + YesNo</t>
  </si>
  <si>
    <t>&gt;&gt;&gt; When Luxembourg + YesNa</t>
  </si>
  <si>
    <t>To check your eligibility for tax exemption, please save and forward this calculator to 'taxqueries@iras.gov.sg', and</t>
  </si>
  <si>
    <t>Country selected:</t>
  </si>
  <si>
    <t>Calendar / Moving /
Limited Treaty:</t>
  </si>
  <si>
    <t>No. days:</t>
  </si>
  <si>
    <t>in the calendar year</t>
  </si>
  <si>
    <t>To (moving)</t>
  </si>
  <si>
    <t>Last Year:</t>
  </si>
  <si>
    <t>Current Year:</t>
  </si>
  <si>
    <t>No. of days in (raw calc)</t>
  </si>
  <si>
    <t>No. of days in</t>
  </si>
  <si>
    <t>CALENDAR</t>
  </si>
  <si>
    <t>Message</t>
  </si>
  <si>
    <t>Earliest and Latest dates entered in the years:</t>
  </si>
  <si>
    <t>Total:</t>
  </si>
  <si>
    <t>Relating to partial exemption (calendar) &gt;&gt;</t>
  </si>
  <si>
    <t>Qualify for Year:</t>
  </si>
  <si>
    <t>Relating to partial exemption (calender) &gt;&gt;</t>
  </si>
  <si>
    <t>Don't qualify for Year:</t>
  </si>
  <si>
    <t>Relating to partial exemption due to year DTA becomes effective &gt;&gt;</t>
  </si>
  <si>
    <t>step by step to derive relevant date from</t>
  </si>
  <si>
    <t>step by step to derive relevant date to</t>
  </si>
  <si>
    <t>check for "From" filled in</t>
  </si>
  <si>
    <t>check for "To" filled in</t>
  </si>
  <si>
    <t>Rank</t>
  </si>
  <si>
    <t>MOVING</t>
  </si>
  <si>
    <r>
      <t xml:space="preserve">Relevant 12-mth period from </t>
    </r>
    <r>
      <rPr>
        <b/>
        <i/>
        <sz val="11"/>
        <color indexed="30"/>
        <rFont val="Calibri"/>
        <family val="2"/>
      </rPr>
      <t>(for display)</t>
    </r>
  </si>
  <si>
    <r>
      <t xml:space="preserve">Relevant 12-mth period to </t>
    </r>
    <r>
      <rPr>
        <b/>
        <i/>
        <sz val="11"/>
        <color indexed="30"/>
        <rFont val="Calibri"/>
        <family val="2"/>
      </rPr>
      <t>(for display)</t>
    </r>
  </si>
  <si>
    <t>No. of Days!</t>
  </si>
  <si>
    <t>Step 1: Find min of "Date From + 1 yr" vs. "very last engagement's Date To"</t>
  </si>
  <si>
    <t>Step 2: Calculate Step 1's date - 1yr</t>
  </si>
  <si>
    <t>Step 3: Find max of "Date derived in Step 2" vs. "very first engagement's Date From"</t>
  </si>
  <si>
    <t>Step 1: Find "Date From" (derived in step-by-step) + 1yr</t>
  </si>
  <si>
    <t>Step 2: Find min of "Date derived in Step 1" vs. "very last engagement's Date To"</t>
  </si>
  <si>
    <t>error exist? --&gt;&gt;</t>
  </si>
  <si>
    <t>calendar</t>
  </si>
  <si>
    <t xml:space="preserve">Your stay in Singapore totalled </t>
  </si>
  <si>
    <t xml:space="preserve"> to </t>
  </si>
  <si>
    <t>.</t>
  </si>
  <si>
    <t>moving</t>
  </si>
  <si>
    <t>Step 1: Calculate "Date To" - 1yr</t>
  </si>
  <si>
    <t>Step 2: Find min of "Step 1's date" vs. "Date From"</t>
  </si>
  <si>
    <t>&gt;&gt;&gt; when it is France/Thailand (calendar basis up till 31 Dec 2016, moving period basis from 1 Jan 2017 onwards)</t>
  </si>
  <si>
    <t>Year</t>
  </si>
  <si>
    <t>Travel dates affected?</t>
  </si>
  <si>
    <t>Qualify under the respective basis?</t>
  </si>
  <si>
    <t>concatenate</t>
  </si>
  <si>
    <t>Results for days (vlookup from matrix below)</t>
  </si>
  <si>
    <t>Calendar basis in years 2016 &amp; before:</t>
  </si>
  <si>
    <t>Moving period basis in years 2017 &amp; after:</t>
  </si>
  <si>
    <t>Year to show for Partial at…</t>
  </si>
  <si>
    <t>&gt; 2017</t>
  </si>
  <si>
    <t>(a)</t>
  </si>
  <si>
    <t>(b)</t>
  </si>
  <si>
    <t>Partial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</si>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</sst>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;;"/>
    <numFmt numFmtId="165" formatCode="dd\-mmm\-yyyy"/>
  </numFmts>
  <fonts count="82" x14ac:knownFonts="1">
    <font>
      <sz val="11"/>
      <color theme="1"/>
      <name val="Calibri"/>
      <family val="2"/>
      <scheme val="minor"/>
    </font>
    <font>
      <sz val="10"/>
      <name val="Century Gothic"/>
      <family val="2"/>
    </font>
    <font>
      <sz val="8"/>
      <name val="Century Gothic"/>
      <family val="2"/>
    </font>
    <font>
      <b/>
      <sz val="10"/>
      <name val="Century Gothic"/>
      <family val="2"/>
    </font>
    <font>
      <i/>
      <sz val="8"/>
      <name val="Century Gothic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9.5"/>
      <name val="Century Gothic"/>
      <family val="2"/>
    </font>
    <font>
      <sz val="12"/>
      <name val="Arial"/>
      <family val="2"/>
    </font>
    <font>
      <b/>
      <i/>
      <sz val="11"/>
      <color indexed="30"/>
      <name val="Calibri"/>
      <family val="2"/>
    </font>
    <font>
      <b/>
      <i/>
      <sz val="11"/>
      <name val="Century Gothic"/>
      <family val="2"/>
    </font>
    <font>
      <u/>
      <sz val="10"/>
      <name val="Century Gothic"/>
      <family val="2"/>
    </font>
    <font>
      <sz val="11"/>
      <name val="Century Gothic"/>
      <family val="2"/>
    </font>
    <font>
      <i/>
      <sz val="12"/>
      <name val="Century Gothic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sz val="10"/>
      <color indexed="10"/>
      <name val="Century Gothic"/>
      <family val="2"/>
    </font>
    <font>
      <b/>
      <sz val="12"/>
      <color indexed="9"/>
      <name val="Century Gothic"/>
      <family val="2"/>
    </font>
    <font>
      <sz val="8"/>
      <color indexed="9"/>
      <name val="Arial"/>
      <family val="2"/>
    </font>
    <font>
      <u/>
      <sz val="10"/>
      <color indexed="9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2"/>
      <color indexed="56"/>
      <name val="Century Gothic"/>
      <family val="2"/>
    </font>
    <font>
      <sz val="13"/>
      <name val="Calibri"/>
      <family val="2"/>
    </font>
    <font>
      <sz val="12"/>
      <name val="Calibri"/>
      <family val="2"/>
    </font>
    <font>
      <sz val="10"/>
      <color indexed="9"/>
      <name val="Century Gothic"/>
      <family val="2"/>
    </font>
    <font>
      <b/>
      <sz val="12"/>
      <name val="Calibri"/>
      <family val="2"/>
    </font>
    <font>
      <b/>
      <i/>
      <sz val="8"/>
      <color indexed="10"/>
      <name val="Century Gothic"/>
      <family val="2"/>
    </font>
    <font>
      <sz val="12"/>
      <color indexed="8"/>
      <name val="Calibri"/>
      <family val="2"/>
    </font>
    <font>
      <sz val="8"/>
      <color indexed="9"/>
      <name val="Century Gothic"/>
      <family val="2"/>
    </font>
    <font>
      <i/>
      <sz val="12"/>
      <name val="Calibri"/>
      <family val="2"/>
    </font>
    <font>
      <sz val="8"/>
      <color indexed="8"/>
      <name val="Calibri"/>
      <family val="2"/>
    </font>
    <font>
      <sz val="11"/>
      <color indexed="23"/>
      <name val="Calibri"/>
      <family val="2"/>
    </font>
    <font>
      <b/>
      <sz val="11"/>
      <color indexed="23"/>
      <name val="Calibri"/>
      <family val="2"/>
    </font>
    <font>
      <i/>
      <sz val="11"/>
      <color indexed="8"/>
      <name val="Calibri"/>
      <family val="2"/>
    </font>
    <font>
      <b/>
      <sz val="11"/>
      <color indexed="9"/>
      <name val="Century Gothic"/>
      <family val="2"/>
    </font>
    <font>
      <b/>
      <sz val="11"/>
      <color indexed="13"/>
      <name val="Calibri"/>
      <family val="2"/>
    </font>
    <font>
      <b/>
      <sz val="12"/>
      <color indexed="8"/>
      <name val="Calibri"/>
      <family val="2"/>
    </font>
    <font>
      <sz val="9"/>
      <color indexed="8"/>
      <name val="Arial"/>
      <family val="2"/>
    </font>
    <font>
      <b/>
      <sz val="11"/>
      <color indexed="10"/>
      <name val="Calibri"/>
      <family val="2"/>
    </font>
    <font>
      <sz val="8"/>
      <name val="Calibri"/>
      <family val="2"/>
    </font>
    <font>
      <sz val="10"/>
      <name val="Calibri"/>
      <family val="2"/>
    </font>
    <font>
      <b/>
      <i/>
      <sz val="12"/>
      <name val="Calibri"/>
      <family val="2"/>
    </font>
    <font>
      <b/>
      <sz val="10"/>
      <name val="Calibri"/>
      <family val="2"/>
    </font>
    <font>
      <b/>
      <i/>
      <sz val="8"/>
      <name val="Calibri"/>
      <family val="2"/>
    </font>
    <font>
      <i/>
      <sz val="8"/>
      <name val="Calibri"/>
      <family val="2"/>
    </font>
    <font>
      <sz val="11"/>
      <name val="Calibri"/>
      <family val="2"/>
    </font>
    <font>
      <sz val="12"/>
      <color indexed="12"/>
      <name val="Calibri"/>
      <family val="2"/>
    </font>
    <font>
      <sz val="10"/>
      <color indexed="8"/>
      <name val="Calibri"/>
      <family val="2"/>
    </font>
    <font>
      <b/>
      <sz val="10"/>
      <color indexed="12"/>
      <name val="Century Gothic"/>
      <family val="2"/>
    </font>
    <font>
      <sz val="12"/>
      <color indexed="10"/>
      <name val="Calibri"/>
      <family val="2"/>
    </font>
    <font>
      <u/>
      <sz val="11"/>
      <name val="Calibri"/>
      <family val="2"/>
    </font>
    <font>
      <sz val="12"/>
      <color indexed="8"/>
      <name val="Century Gothic"/>
      <family val="2"/>
    </font>
    <font>
      <b/>
      <u/>
      <sz val="12"/>
      <color indexed="12"/>
      <name val="Century Gothic"/>
      <family val="2"/>
    </font>
    <font>
      <sz val="14"/>
      <name val="Calibri"/>
      <family val="2"/>
    </font>
    <font>
      <sz val="11"/>
      <color indexed="8"/>
      <name val="Century Gothic"/>
      <family val="2"/>
    </font>
    <font>
      <b/>
      <sz val="14"/>
      <name val="Calibri"/>
      <family val="2"/>
    </font>
    <font>
      <b/>
      <sz val="12"/>
      <color indexed="8"/>
      <name val="Century Gothic"/>
      <family val="2"/>
    </font>
    <font>
      <b/>
      <sz val="14"/>
      <color indexed="9"/>
      <name val="Century Gothic"/>
      <family val="2"/>
    </font>
    <font>
      <i/>
      <sz val="11"/>
      <color indexed="53"/>
      <name val="Calibri"/>
      <family val="2"/>
    </font>
    <font>
      <b/>
      <sz val="14"/>
      <color indexed="8"/>
      <name val="Century Gothic"/>
      <family val="2"/>
    </font>
    <font>
      <b/>
      <sz val="16"/>
      <color indexed="9"/>
      <name val="Century Gothic"/>
      <family val="2"/>
    </font>
    <font>
      <u/>
      <sz val="10"/>
      <color indexed="8"/>
      <name val="Calibri"/>
      <family val="2"/>
    </font>
    <font>
      <sz val="10"/>
      <color indexed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rgb="FFFF0000"/>
      <name val="Arial"/>
      <family val="2"/>
    </font>
    <font>
      <sz val="8"/>
      <color rgb="FF0000FF"/>
      <name val="Arial"/>
      <family val="2"/>
    </font>
    <font>
      <b/>
      <sz val="18"/>
      <color rgb="FFC00000"/>
      <name val="Segoe UI"/>
      <family val="2"/>
    </font>
    <font>
      <sz val="11"/>
      <color rgb="FFC00000"/>
      <name val="Calibri"/>
      <family val="2"/>
      <scheme val="minor"/>
    </font>
    <font>
      <b/>
      <sz val="16"/>
      <color rgb="FFC00000"/>
      <name val="Segoe UI"/>
      <family val="2"/>
    </font>
    <font>
      <sz val="11"/>
      <color theme="0" tint="-0.34998626667073579"/>
      <name val="Calibri"/>
      <family val="2"/>
      <scheme val="minor"/>
    </font>
    <font>
      <b/>
      <sz val="12"/>
      <color theme="0"/>
      <name val="Century Gothic"/>
      <family val="2"/>
    </font>
    <font>
      <sz val="10"/>
      <color theme="1"/>
      <name val="Calibri"/>
      <family val="2"/>
      <scheme val="minor"/>
    </font>
    <font>
      <b/>
      <sz val="12"/>
      <color rgb="FF0000FF"/>
      <name val="Century Gothic"/>
      <family val="2"/>
    </font>
  </fonts>
  <fills count="21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73">
    <border>
      <left/>
      <right/>
      <top/>
      <bottom/>
      <diagonal/>
    </border>
    <border>
      <left style="medium">
        <color indexed="62"/>
      </left>
      <right/>
      <top style="medium">
        <color indexed="62"/>
      </top>
      <bottom style="medium">
        <color indexed="62"/>
      </bottom>
      <diagonal/>
    </border>
    <border>
      <left/>
      <right/>
      <top style="medium">
        <color indexed="62"/>
      </top>
      <bottom style="medium">
        <color indexed="62"/>
      </bottom>
      <diagonal/>
    </border>
    <border>
      <left/>
      <right style="medium">
        <color indexed="62"/>
      </right>
      <top style="medium">
        <color indexed="62"/>
      </top>
      <bottom style="medium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2"/>
      </right>
      <top/>
      <bottom/>
      <diagonal/>
    </border>
    <border>
      <left style="medium">
        <color indexed="62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2"/>
      </top>
      <bottom/>
      <diagonal/>
    </border>
    <border>
      <left/>
      <right/>
      <top/>
      <bottom style="medium">
        <color indexed="62"/>
      </bottom>
      <diagonal/>
    </border>
    <border>
      <left/>
      <right style="medium">
        <color indexed="62"/>
      </right>
      <top/>
      <bottom style="medium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2"/>
      </left>
      <right/>
      <top/>
      <bottom style="medium">
        <color indexed="62"/>
      </bottom>
      <diagonal/>
    </border>
    <border>
      <left style="medium">
        <color indexed="62"/>
      </left>
      <right/>
      <top style="medium">
        <color indexed="62"/>
      </top>
      <bottom/>
      <diagonal/>
    </border>
    <border>
      <left/>
      <right style="medium">
        <color indexed="62"/>
      </right>
      <top style="medium">
        <color indexed="62"/>
      </top>
      <bottom/>
      <diagonal/>
    </border>
    <border>
      <left/>
      <right/>
      <top style="thin">
        <color indexed="64"/>
      </top>
      <bottom style="medium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thin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2"/>
      </left>
      <right/>
      <top style="thin">
        <color indexed="62"/>
      </top>
      <bottom style="thin">
        <color indexed="62"/>
      </bottom>
      <diagonal/>
    </border>
    <border>
      <left/>
      <right style="medium">
        <color indexed="62"/>
      </right>
      <top style="thin">
        <color indexed="62"/>
      </top>
      <bottom style="thin">
        <color indexed="62"/>
      </bottom>
      <diagonal/>
    </border>
    <border>
      <left style="medium">
        <color indexed="62"/>
      </left>
      <right/>
      <top style="thin">
        <color indexed="62"/>
      </top>
      <bottom/>
      <diagonal/>
    </border>
    <border>
      <left style="medium">
        <color indexed="62"/>
      </left>
      <right/>
      <top/>
      <bottom style="thin">
        <color indexed="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6"/>
      </left>
      <right/>
      <top/>
      <bottom/>
      <diagonal/>
    </border>
    <border>
      <left/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2"/>
      </left>
      <right/>
      <top style="thin">
        <color indexed="62"/>
      </top>
      <bottom style="thin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2"/>
      </left>
      <right/>
      <top style="thin">
        <color indexed="62"/>
      </top>
      <bottom/>
      <diagonal/>
    </border>
    <border>
      <left/>
      <right/>
      <top style="thin">
        <color indexed="62"/>
      </top>
      <bottom/>
      <diagonal/>
    </border>
    <border>
      <left/>
      <right style="medium">
        <color indexed="62"/>
      </right>
      <top style="thin">
        <color indexed="62"/>
      </top>
      <bottom/>
      <diagonal/>
    </border>
    <border>
      <left style="thin">
        <color indexed="62"/>
      </left>
      <right/>
      <top/>
      <bottom/>
      <diagonal/>
    </border>
    <border>
      <left style="thin">
        <color indexed="62"/>
      </left>
      <right/>
      <top/>
      <bottom style="thin">
        <color indexed="62"/>
      </bottom>
      <diagonal/>
    </border>
    <border>
      <left/>
      <right/>
      <top/>
      <bottom style="thin">
        <color indexed="62"/>
      </bottom>
      <diagonal/>
    </border>
    <border>
      <left/>
      <right style="medium">
        <color indexed="62"/>
      </right>
      <top/>
      <bottom style="thin">
        <color indexed="62"/>
      </bottom>
      <diagonal/>
    </border>
    <border>
      <left/>
      <right style="thin">
        <color indexed="62"/>
      </right>
      <top style="thin">
        <color indexed="62"/>
      </top>
      <bottom/>
      <diagonal/>
    </border>
    <border>
      <left/>
      <right style="thin">
        <color indexed="62"/>
      </right>
      <top/>
      <bottom/>
      <diagonal/>
    </border>
    <border>
      <left/>
      <right style="thin">
        <color indexed="62"/>
      </right>
      <top/>
      <bottom style="thin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2"/>
      </left>
      <right/>
      <top/>
      <bottom style="medium">
        <color indexed="62"/>
      </bottom>
      <diagonal/>
    </border>
    <border>
      <left/>
      <right style="thin">
        <color indexed="62"/>
      </right>
      <top/>
      <bottom style="medium">
        <color indexed="62"/>
      </bottom>
      <diagonal/>
    </border>
    <border>
      <left style="thick">
        <color indexed="31"/>
      </left>
      <right/>
      <top style="thick">
        <color indexed="31"/>
      </top>
      <bottom style="thick">
        <color indexed="31"/>
      </bottom>
      <diagonal/>
    </border>
    <border>
      <left/>
      <right/>
      <top style="thick">
        <color indexed="31"/>
      </top>
      <bottom style="thick">
        <color indexed="31"/>
      </bottom>
      <diagonal/>
    </border>
    <border>
      <left/>
      <right style="thick">
        <color indexed="31"/>
      </right>
      <top style="thick">
        <color indexed="31"/>
      </top>
      <bottom style="thick">
        <color indexed="3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</cellStyleXfs>
  <cellXfs count="514">
    <xf numFmtId="0" fontId="0" fillId="0" borderId="0" xfId="0"/>
    <xf numFmtId="0" fontId="0" fillId="0" borderId="0" xfId="0" applyAlignment="1">
      <alignment horizontal="center"/>
    </xf>
    <xf numFmtId="0" fontId="20" fillId="0" borderId="0" xfId="2" applyFont="1" applyFill="1" applyBorder="1" applyAlignment="1" applyProtection="1">
      <alignment horizontal="center" vertical="center" wrapText="1"/>
      <protection hidden="1"/>
    </xf>
    <xf numFmtId="14" fontId="21" fillId="0" borderId="0" xfId="0" applyNumberFormat="1" applyFont="1" applyAlignment="1" applyProtection="1">
      <alignment horizontal="center"/>
      <protection hidden="1"/>
    </xf>
    <xf numFmtId="0" fontId="22" fillId="2" borderId="1" xfId="0" applyFont="1" applyFill="1" applyBorder="1" applyAlignment="1" applyProtection="1">
      <alignment horizontal="center" vertical="center"/>
      <protection hidden="1"/>
    </xf>
    <xf numFmtId="0" fontId="22" fillId="2" borderId="2" xfId="0" applyFont="1" applyFill="1" applyBorder="1" applyAlignment="1" applyProtection="1">
      <alignment vertical="center"/>
      <protection hidden="1"/>
    </xf>
    <xf numFmtId="0" fontId="23" fillId="2" borderId="2" xfId="0" applyFont="1" applyFill="1" applyBorder="1" applyProtection="1">
      <protection hidden="1"/>
    </xf>
    <xf numFmtId="0" fontId="24" fillId="2" borderId="2" xfId="2" applyFont="1" applyFill="1" applyBorder="1" applyAlignment="1" applyProtection="1">
      <alignment horizontal="right" vertical="top" indent="1"/>
      <protection hidden="1"/>
    </xf>
    <xf numFmtId="0" fontId="24" fillId="2" borderId="3" xfId="2" applyFont="1" applyFill="1" applyBorder="1" applyAlignment="1" applyProtection="1">
      <alignment horizontal="right" vertical="top" indent="1"/>
      <protection hidden="1"/>
    </xf>
    <xf numFmtId="0" fontId="2" fillId="0" borderId="0" xfId="0" applyFont="1" applyAlignment="1" applyProtection="1">
      <alignment horizontal="left" vertical="top" indent="5"/>
      <protection hidden="1"/>
    </xf>
    <xf numFmtId="0" fontId="5" fillId="0" borderId="0" xfId="0" applyFont="1" applyAlignment="1" applyProtection="1">
      <alignment horizontal="left" vertical="center" indent="1"/>
      <protection hidden="1"/>
    </xf>
    <xf numFmtId="0" fontId="2" fillId="0" borderId="0" xfId="0" applyFont="1" applyAlignment="1" applyProtection="1">
      <alignment horizontal="center"/>
      <protection hidden="1"/>
    </xf>
    <xf numFmtId="164" fontId="2" fillId="0" borderId="0" xfId="0" applyNumberFormat="1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left" vertical="center" wrapText="1" indent="2"/>
      <protection hidden="1"/>
    </xf>
    <xf numFmtId="0" fontId="3" fillId="0" borderId="0" xfId="0" applyFont="1" applyAlignment="1" applyProtection="1">
      <alignment horizontal="left" vertical="center"/>
      <protection hidden="1"/>
    </xf>
    <xf numFmtId="14" fontId="1" fillId="0" borderId="0" xfId="0" applyNumberFormat="1" applyFont="1" applyAlignment="1" applyProtection="1">
      <alignment horizontal="center" vertical="center"/>
      <protection hidden="1"/>
    </xf>
    <xf numFmtId="14" fontId="2" fillId="0" borderId="0" xfId="0" applyNumberFormat="1" applyFont="1" applyAlignment="1" applyProtection="1">
      <alignment horizontal="left" vertical="center" wrapText="1" indent="1"/>
      <protection hidden="1"/>
    </xf>
    <xf numFmtId="0" fontId="0" fillId="0" borderId="4" xfId="0" applyBorder="1"/>
    <xf numFmtId="0" fontId="0" fillId="0" borderId="4" xfId="0" applyBorder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0" fontId="0" fillId="0" borderId="0" xfId="0" applyAlignment="1" applyProtection="1">
      <alignment horizontal="right"/>
      <protection hidden="1"/>
    </xf>
    <xf numFmtId="1" fontId="0" fillId="0" borderId="4" xfId="0" applyNumberFormat="1" applyBorder="1" applyAlignment="1" applyProtection="1">
      <alignment horizontal="center"/>
      <protection hidden="1"/>
    </xf>
    <xf numFmtId="14" fontId="0" fillId="0" borderId="4" xfId="0" applyNumberFormat="1" applyBorder="1" applyAlignment="1">
      <alignment horizontal="center"/>
    </xf>
    <xf numFmtId="0" fontId="2" fillId="0" borderId="0" xfId="0" applyFont="1" applyProtection="1">
      <protection hidden="1"/>
    </xf>
    <xf numFmtId="0" fontId="25" fillId="0" borderId="4" xfId="0" applyFont="1" applyBorder="1" applyAlignment="1">
      <alignment vertical="top" wrapText="1"/>
    </xf>
    <xf numFmtId="0" fontId="25" fillId="0" borderId="4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 wrapText="1"/>
    </xf>
    <xf numFmtId="0" fontId="27" fillId="0" borderId="4" xfId="0" applyFont="1" applyBorder="1" applyAlignment="1">
      <alignment wrapText="1"/>
    </xf>
    <xf numFmtId="0" fontId="8" fillId="0" borderId="0" xfId="2" applyFont="1" applyFill="1" applyBorder="1" applyAlignment="1" applyProtection="1">
      <alignment vertical="center"/>
      <protection hidden="1"/>
    </xf>
    <xf numFmtId="0" fontId="8" fillId="0" borderId="5" xfId="2" applyFont="1" applyFill="1" applyBorder="1" applyAlignment="1" applyProtection="1">
      <alignment vertical="center"/>
      <protection hidden="1"/>
    </xf>
    <xf numFmtId="0" fontId="8" fillId="0" borderId="6" xfId="2" applyFont="1" applyFill="1" applyBorder="1" applyAlignment="1" applyProtection="1">
      <alignment vertical="center"/>
      <protection hidden="1"/>
    </xf>
    <xf numFmtId="0" fontId="1" fillId="0" borderId="0" xfId="2" applyFill="1" applyBorder="1" applyAlignment="1" applyProtection="1">
      <alignment vertical="center"/>
      <protection hidden="1"/>
    </xf>
    <xf numFmtId="0" fontId="10" fillId="0" borderId="0" xfId="2" applyFont="1" applyFill="1" applyBorder="1" applyAlignment="1" applyProtection="1">
      <alignment vertical="center"/>
      <protection hidden="1"/>
    </xf>
    <xf numFmtId="0" fontId="22" fillId="2" borderId="2" xfId="0" applyFont="1" applyFill="1" applyBorder="1" applyAlignment="1" applyProtection="1">
      <alignment horizontal="left" vertical="center"/>
      <protection hidden="1"/>
    </xf>
    <xf numFmtId="0" fontId="28" fillId="0" borderId="7" xfId="0" applyFont="1" applyBorder="1" applyAlignment="1" applyProtection="1">
      <alignment vertical="center" wrapText="1"/>
      <protection hidden="1"/>
    </xf>
    <xf numFmtId="0" fontId="29" fillId="0" borderId="0" xfId="2" applyFont="1" applyFill="1" applyBorder="1" applyAlignment="1" applyProtection="1">
      <protection hidden="1"/>
    </xf>
    <xf numFmtId="0" fontId="30" fillId="0" borderId="0" xfId="0" applyFont="1" applyAlignment="1" applyProtection="1">
      <alignment horizontal="left" vertical="center" indent="2"/>
      <protection hidden="1"/>
    </xf>
    <xf numFmtId="0" fontId="28" fillId="0" borderId="8" xfId="0" applyFont="1" applyBorder="1" applyAlignment="1" applyProtection="1">
      <alignment horizontal="left" vertical="center" wrapText="1"/>
      <protection hidden="1"/>
    </xf>
    <xf numFmtId="0" fontId="28" fillId="0" borderId="7" xfId="0" applyFont="1" applyBorder="1" applyAlignment="1" applyProtection="1">
      <alignment horizontal="left" vertical="center" wrapText="1"/>
      <protection hidden="1"/>
    </xf>
    <xf numFmtId="0" fontId="31" fillId="3" borderId="0" xfId="0" applyFont="1" applyFill="1" applyAlignment="1" applyProtection="1">
      <alignment horizontal="center" vertical="center" wrapText="1"/>
      <protection hidden="1"/>
    </xf>
    <xf numFmtId="0" fontId="2" fillId="0" borderId="9" xfId="0" applyFont="1" applyBorder="1" applyProtection="1">
      <protection hidden="1"/>
    </xf>
    <xf numFmtId="14" fontId="2" fillId="0" borderId="9" xfId="0" applyNumberFormat="1" applyFont="1" applyBorder="1" applyAlignment="1" applyProtection="1">
      <alignment horizontal="center"/>
      <protection hidden="1"/>
    </xf>
    <xf numFmtId="0" fontId="32" fillId="0" borderId="0" xfId="0" applyFont="1" applyAlignment="1" applyProtection="1">
      <alignment horizontal="left" vertical="center" indent="2"/>
      <protection hidden="1"/>
    </xf>
    <xf numFmtId="0" fontId="9" fillId="0" borderId="0" xfId="0" applyFont="1" applyAlignment="1" applyProtection="1">
      <alignment horizontal="left" vertical="center" indent="2"/>
      <protection hidden="1"/>
    </xf>
    <xf numFmtId="0" fontId="8" fillId="0" borderId="0" xfId="0" applyFont="1" applyAlignment="1" applyProtection="1">
      <alignment horizontal="left" vertical="center" wrapText="1" indent="2"/>
      <protection hidden="1"/>
    </xf>
    <xf numFmtId="0" fontId="33" fillId="0" borderId="0" xfId="0" applyFont="1" applyAlignment="1" applyProtection="1">
      <alignment horizontal="left" vertical="center" wrapText="1"/>
      <protection hidden="1"/>
    </xf>
    <xf numFmtId="14" fontId="2" fillId="0" borderId="5" xfId="0" applyNumberFormat="1" applyFont="1" applyBorder="1" applyAlignment="1" applyProtection="1">
      <alignment horizontal="left" vertical="center" wrapText="1" indent="1"/>
      <protection hidden="1"/>
    </xf>
    <xf numFmtId="0" fontId="11" fillId="0" borderId="0" xfId="0" applyFont="1" applyProtection="1">
      <protection hidden="1"/>
    </xf>
    <xf numFmtId="0" fontId="33" fillId="0" borderId="0" xfId="0" applyFont="1" applyAlignment="1" applyProtection="1">
      <alignment horizontal="left" vertical="center" wrapText="1" indent="1"/>
      <protection hidden="1"/>
    </xf>
    <xf numFmtId="0" fontId="8" fillId="0" borderId="0" xfId="0" applyFont="1" applyAlignment="1" applyProtection="1">
      <alignment horizontal="left" vertical="center" indent="2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32" fillId="0" borderId="0" xfId="0" applyFont="1" applyAlignment="1" applyProtection="1">
      <alignment horizontal="right" vertical="center" wrapText="1"/>
      <protection hidden="1"/>
    </xf>
    <xf numFmtId="0" fontId="32" fillId="0" borderId="0" xfId="0" applyFont="1" applyAlignment="1" applyProtection="1">
      <alignment horizontal="center" vertical="center" wrapText="1"/>
      <protection hidden="1"/>
    </xf>
    <xf numFmtId="0" fontId="21" fillId="0" borderId="0" xfId="0" applyFont="1" applyAlignment="1" applyProtection="1">
      <alignment horizontal="left" vertical="center" indent="2"/>
      <protection hidden="1"/>
    </xf>
    <xf numFmtId="0" fontId="7" fillId="0" borderId="5" xfId="0" applyFont="1" applyBorder="1" applyAlignment="1" applyProtection="1">
      <alignment horizontal="left" vertical="center"/>
      <protection hidden="1"/>
    </xf>
    <xf numFmtId="1" fontId="34" fillId="0" borderId="0" xfId="0" applyNumberFormat="1" applyFont="1" applyAlignment="1" applyProtection="1">
      <alignment horizontal="center" vertical="center" wrapText="1"/>
      <protection hidden="1"/>
    </xf>
    <xf numFmtId="164" fontId="35" fillId="0" borderId="0" xfId="0" applyNumberFormat="1" applyFont="1" applyAlignment="1" applyProtection="1">
      <alignment horizontal="left" vertical="center" wrapText="1" indent="1"/>
      <protection hidden="1"/>
    </xf>
    <xf numFmtId="0" fontId="32" fillId="0" borderId="0" xfId="0" applyFont="1" applyAlignment="1" applyProtection="1">
      <alignment horizontal="center" vertical="center"/>
      <protection hidden="1"/>
    </xf>
    <xf numFmtId="0" fontId="30" fillId="0" borderId="0" xfId="0" applyFont="1" applyProtection="1">
      <protection hidden="1"/>
    </xf>
    <xf numFmtId="164" fontId="35" fillId="0" borderId="5" xfId="0" applyNumberFormat="1" applyFont="1" applyBorder="1" applyAlignment="1" applyProtection="1">
      <alignment horizontal="left" vertical="center" wrapText="1" indent="1"/>
      <protection hidden="1"/>
    </xf>
    <xf numFmtId="0" fontId="1" fillId="0" borderId="10" xfId="0" applyFont="1" applyBorder="1" applyAlignment="1" applyProtection="1">
      <alignment horizontal="left" vertical="center" wrapText="1" indent="2"/>
      <protection hidden="1"/>
    </xf>
    <xf numFmtId="164" fontId="1" fillId="0" borderId="10" xfId="0" applyNumberFormat="1" applyFont="1" applyBorder="1" applyAlignment="1" applyProtection="1">
      <alignment horizontal="center" vertical="center"/>
      <protection hidden="1"/>
    </xf>
    <xf numFmtId="0" fontId="6" fillId="0" borderId="10" xfId="0" applyFont="1" applyBorder="1" applyProtection="1">
      <protection hidden="1"/>
    </xf>
    <xf numFmtId="14" fontId="2" fillId="0" borderId="11" xfId="0" applyNumberFormat="1" applyFont="1" applyBorder="1" applyAlignment="1" applyProtection="1">
      <alignment horizontal="left" vertical="center" wrapText="1" indent="1"/>
      <protection hidden="1"/>
    </xf>
    <xf numFmtId="0" fontId="1" fillId="0" borderId="0" xfId="0" applyFont="1" applyAlignment="1" applyProtection="1">
      <alignment horizontal="left" vertical="center" indent="2"/>
      <protection hidden="1"/>
    </xf>
    <xf numFmtId="0" fontId="30" fillId="0" borderId="0" xfId="0" applyFont="1" applyAlignment="1" applyProtection="1">
      <alignment horizontal="left" vertical="top" indent="4"/>
      <protection hidden="1"/>
    </xf>
    <xf numFmtId="0" fontId="1" fillId="0" borderId="0" xfId="0" applyFont="1" applyAlignment="1" applyProtection="1">
      <alignment horizontal="left" vertical="top" indent="4"/>
      <protection hidden="1"/>
    </xf>
    <xf numFmtId="0" fontId="2" fillId="0" borderId="0" xfId="0" applyFont="1" applyAlignment="1" applyProtection="1">
      <alignment horizontal="left" vertical="center" indent="5"/>
      <protection hidden="1"/>
    </xf>
    <xf numFmtId="0" fontId="3" fillId="0" borderId="0" xfId="0" applyFont="1" applyAlignment="1" applyProtection="1">
      <alignment horizontal="left" vertical="center" indent="2"/>
      <protection hidden="1"/>
    </xf>
    <xf numFmtId="0" fontId="33" fillId="0" borderId="0" xfId="0" applyFont="1" applyAlignment="1" applyProtection="1">
      <alignment horizontal="left" vertical="center" indent="1"/>
      <protection hidden="1"/>
    </xf>
    <xf numFmtId="14" fontId="4" fillId="0" borderId="0" xfId="0" applyNumberFormat="1" applyFont="1" applyAlignment="1" applyProtection="1">
      <alignment horizontal="left" vertical="center" wrapText="1" indent="1"/>
      <protection hidden="1"/>
    </xf>
    <xf numFmtId="0" fontId="3" fillId="0" borderId="10" xfId="0" applyFont="1" applyBorder="1" applyAlignment="1" applyProtection="1">
      <alignment horizontal="left" vertical="center"/>
      <protection hidden="1"/>
    </xf>
    <xf numFmtId="14" fontId="1" fillId="0" borderId="10" xfId="0" applyNumberFormat="1" applyFont="1" applyBorder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left" vertical="top" wrapText="1"/>
      <protection hidden="1"/>
    </xf>
    <xf numFmtId="0" fontId="2" fillId="0" borderId="10" xfId="0" applyFont="1" applyBorder="1" applyAlignment="1" applyProtection="1">
      <alignment horizontal="left" vertical="top" indent="5"/>
      <protection hidden="1"/>
    </xf>
    <xf numFmtId="0" fontId="5" fillId="0" borderId="10" xfId="0" applyFont="1" applyBorder="1" applyAlignment="1" applyProtection="1">
      <alignment horizontal="left" vertical="center" indent="1"/>
      <protection hidden="1"/>
    </xf>
    <xf numFmtId="0" fontId="2" fillId="0" borderId="10" xfId="0" applyFont="1" applyBorder="1" applyAlignment="1" applyProtection="1">
      <alignment horizontal="center"/>
      <protection hidden="1"/>
    </xf>
    <xf numFmtId="164" fontId="2" fillId="0" borderId="10" xfId="0" applyNumberFormat="1" applyFont="1" applyBorder="1" applyAlignment="1" applyProtection="1">
      <alignment horizontal="center"/>
      <protection hidden="1"/>
    </xf>
    <xf numFmtId="14" fontId="2" fillId="0" borderId="0" xfId="0" applyNumberFormat="1" applyFont="1" applyAlignment="1" applyProtection="1">
      <alignment horizontal="center"/>
      <protection hidden="1"/>
    </xf>
    <xf numFmtId="0" fontId="27" fillId="0" borderId="0" xfId="0" applyFont="1"/>
    <xf numFmtId="0" fontId="0" fillId="0" borderId="0" xfId="0" applyAlignment="1">
      <alignment horizontal="center" wrapText="1"/>
    </xf>
    <xf numFmtId="0" fontId="27" fillId="0" borderId="0" xfId="0" applyFont="1" applyAlignment="1">
      <alignment wrapText="1"/>
    </xf>
    <xf numFmtId="0" fontId="26" fillId="0" borderId="4" xfId="0" applyFont="1" applyBorder="1"/>
    <xf numFmtId="0" fontId="25" fillId="4" borderId="12" xfId="0" applyFont="1" applyFill="1" applyBorder="1" applyAlignment="1">
      <alignment horizontal="center" vertical="top" wrapText="1"/>
    </xf>
    <xf numFmtId="0" fontId="25" fillId="5" borderId="12" xfId="0" applyFont="1" applyFill="1" applyBorder="1" applyAlignment="1">
      <alignment horizontal="center" vertical="top" wrapText="1"/>
    </xf>
    <xf numFmtId="0" fontId="25" fillId="6" borderId="12" xfId="0" applyFont="1" applyFill="1" applyBorder="1" applyAlignment="1">
      <alignment horizontal="center" vertical="top" wrapText="1"/>
    </xf>
    <xf numFmtId="0" fontId="25" fillId="6" borderId="4" xfId="0" applyFont="1" applyFill="1" applyBorder="1" applyAlignment="1">
      <alignment horizontal="center" vertical="top" wrapText="1"/>
    </xf>
    <xf numFmtId="0" fontId="26" fillId="7" borderId="4" xfId="0" applyFont="1" applyFill="1" applyBorder="1" applyAlignment="1">
      <alignment horizontal="center"/>
    </xf>
    <xf numFmtId="0" fontId="25" fillId="8" borderId="4" xfId="0" applyFont="1" applyFill="1" applyBorder="1" applyAlignment="1">
      <alignment horizontal="center"/>
    </xf>
    <xf numFmtId="0" fontId="25" fillId="9" borderId="4" xfId="0" applyFont="1" applyFill="1" applyBorder="1" applyAlignment="1">
      <alignment horizontal="center"/>
    </xf>
    <xf numFmtId="0" fontId="26" fillId="9" borderId="4" xfId="0" applyFont="1" applyFill="1" applyBorder="1" applyAlignment="1">
      <alignment horizontal="center"/>
    </xf>
    <xf numFmtId="0" fontId="26" fillId="0" borderId="0" xfId="0" applyFont="1"/>
    <xf numFmtId="0" fontId="25" fillId="0" borderId="0" xfId="0" applyFont="1"/>
    <xf numFmtId="0" fontId="26" fillId="0" borderId="4" xfId="0" applyFont="1" applyBorder="1" applyAlignment="1">
      <alignment vertical="top"/>
    </xf>
    <xf numFmtId="0" fontId="26" fillId="0" borderId="4" xfId="0" applyFont="1" applyBorder="1" applyAlignment="1">
      <alignment vertical="top" wrapText="1"/>
    </xf>
    <xf numFmtId="0" fontId="26" fillId="4" borderId="4" xfId="0" applyFont="1" applyFill="1" applyBorder="1" applyAlignment="1">
      <alignment horizontal="center" vertical="top" wrapText="1"/>
    </xf>
    <xf numFmtId="0" fontId="26" fillId="5" borderId="4" xfId="0" applyFont="1" applyFill="1" applyBorder="1" applyAlignment="1">
      <alignment horizontal="center" vertical="top" wrapText="1"/>
    </xf>
    <xf numFmtId="0" fontId="26" fillId="6" borderId="4" xfId="0" applyFont="1" applyFill="1" applyBorder="1" applyAlignment="1">
      <alignment horizontal="center" vertical="top" wrapText="1"/>
    </xf>
    <xf numFmtId="0" fontId="26" fillId="7" borderId="4" xfId="0" applyFont="1" applyFill="1" applyBorder="1" applyAlignment="1">
      <alignment horizontal="center" vertical="top" wrapText="1"/>
    </xf>
    <xf numFmtId="0" fontId="26" fillId="8" borderId="4" xfId="0" applyFont="1" applyFill="1" applyBorder="1" applyAlignment="1">
      <alignment horizontal="center" vertical="top" wrapText="1"/>
    </xf>
    <xf numFmtId="0" fontId="26" fillId="9" borderId="4" xfId="0" applyFont="1" applyFill="1" applyBorder="1" applyAlignment="1">
      <alignment horizontal="center" vertical="top" wrapText="1"/>
    </xf>
    <xf numFmtId="0" fontId="37" fillId="0" borderId="0" xfId="0" applyFont="1"/>
    <xf numFmtId="0" fontId="27" fillId="0" borderId="4" xfId="0" applyFont="1" applyBorder="1"/>
    <xf numFmtId="0" fontId="0" fillId="9" borderId="4" xfId="0" applyFill="1" applyBorder="1" applyAlignment="1">
      <alignment horizontal="center"/>
    </xf>
    <xf numFmtId="0" fontId="27" fillId="9" borderId="4" xfId="0" applyFont="1" applyFill="1" applyBorder="1"/>
    <xf numFmtId="0" fontId="0" fillId="4" borderId="4" xfId="0" applyFill="1" applyBorder="1"/>
    <xf numFmtId="0" fontId="0" fillId="4" borderId="4" xfId="0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5" fillId="0" borderId="4" xfId="0" applyFont="1" applyBorder="1" applyAlignment="1">
      <alignment horizontal="center" vertical="center" wrapText="1"/>
    </xf>
    <xf numFmtId="0" fontId="25" fillId="4" borderId="12" xfId="0" applyFont="1" applyFill="1" applyBorder="1" applyAlignment="1">
      <alignment horizontal="center" vertical="center" wrapText="1"/>
    </xf>
    <xf numFmtId="0" fontId="25" fillId="5" borderId="12" xfId="0" applyFont="1" applyFill="1" applyBorder="1" applyAlignment="1">
      <alignment horizontal="center" vertical="center" wrapText="1"/>
    </xf>
    <xf numFmtId="0" fontId="25" fillId="6" borderId="12" xfId="0" applyFont="1" applyFill="1" applyBorder="1" applyAlignment="1">
      <alignment horizontal="center" vertical="center" wrapText="1"/>
    </xf>
    <xf numFmtId="0" fontId="25" fillId="6" borderId="4" xfId="0" applyFont="1" applyFill="1" applyBorder="1" applyAlignment="1">
      <alignment horizontal="center" vertical="center" wrapText="1"/>
    </xf>
    <xf numFmtId="0" fontId="25" fillId="7" borderId="4" xfId="0" applyFont="1" applyFill="1" applyBorder="1" applyAlignment="1">
      <alignment horizontal="center" vertical="center"/>
    </xf>
    <xf numFmtId="0" fontId="25" fillId="8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38" fillId="0" borderId="0" xfId="0" applyFont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19" xfId="0" applyFont="1" applyBorder="1" applyAlignment="1" applyProtection="1">
      <alignment horizontal="left" vertical="top" indent="4"/>
      <protection hidden="1"/>
    </xf>
    <xf numFmtId="0" fontId="0" fillId="0" borderId="0" xfId="0" applyAlignment="1">
      <alignment horizontal="right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8" fillId="0" borderId="21" xfId="0" applyFont="1" applyBorder="1"/>
    <xf numFmtId="14" fontId="18" fillId="0" borderId="0" xfId="0" applyNumberFormat="1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0" xfId="0" applyFont="1" applyAlignment="1">
      <alignment wrapText="1"/>
    </xf>
    <xf numFmtId="1" fontId="39" fillId="0" borderId="0" xfId="0" applyNumberFormat="1" applyFont="1" applyAlignment="1">
      <alignment horizontal="center"/>
    </xf>
    <xf numFmtId="0" fontId="0" fillId="0" borderId="21" xfId="0" applyBorder="1"/>
    <xf numFmtId="0" fontId="0" fillId="0" borderId="0" xfId="0" applyAlignment="1">
      <alignment horizontal="right" wrapText="1"/>
    </xf>
    <xf numFmtId="0" fontId="0" fillId="0" borderId="22" xfId="0" applyBorder="1" applyAlignment="1">
      <alignment horizontal="center"/>
    </xf>
    <xf numFmtId="0" fontId="0" fillId="0" borderId="0" xfId="0" applyAlignment="1">
      <alignment horizontal="left"/>
    </xf>
    <xf numFmtId="0" fontId="40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0" fillId="0" borderId="0" xfId="0" applyProtection="1">
      <protection hidden="1"/>
    </xf>
    <xf numFmtId="0" fontId="41" fillId="2" borderId="2" xfId="0" applyFont="1" applyFill="1" applyBorder="1" applyProtection="1">
      <protection hidden="1"/>
    </xf>
    <xf numFmtId="0" fontId="0" fillId="0" borderId="6" xfId="0" applyBorder="1" applyAlignment="1" applyProtection="1">
      <alignment horizontal="center"/>
      <protection hidden="1"/>
    </xf>
    <xf numFmtId="0" fontId="42" fillId="0" borderId="0" xfId="0" applyFont="1" applyProtection="1">
      <protection hidden="1"/>
    </xf>
    <xf numFmtId="0" fontId="0" fillId="0" borderId="5" xfId="0" applyBorder="1" applyProtection="1">
      <protection hidden="1"/>
    </xf>
    <xf numFmtId="0" fontId="0" fillId="0" borderId="23" xfId="0" applyBorder="1" applyAlignment="1" applyProtection="1">
      <alignment horizontal="center"/>
      <protection hidden="1"/>
    </xf>
    <xf numFmtId="0" fontId="17" fillId="0" borderId="10" xfId="0" applyFont="1" applyBorder="1" applyAlignment="1" applyProtection="1">
      <alignment horizontal="right"/>
      <protection hidden="1"/>
    </xf>
    <xf numFmtId="0" fontId="0" fillId="0" borderId="11" xfId="0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17" fillId="0" borderId="0" xfId="0" applyFont="1" applyAlignment="1" applyProtection="1">
      <alignment horizontal="right"/>
      <protection hidden="1"/>
    </xf>
    <xf numFmtId="0" fontId="0" fillId="0" borderId="24" xfId="0" applyBorder="1" applyAlignment="1" applyProtection="1">
      <alignment horizontal="center"/>
      <protection hidden="1"/>
    </xf>
    <xf numFmtId="0" fontId="42" fillId="0" borderId="9" xfId="0" applyFont="1" applyBorder="1" applyProtection="1">
      <protection hidden="1"/>
    </xf>
    <xf numFmtId="0" fontId="0" fillId="0" borderId="25" xfId="0" applyBorder="1" applyProtection="1">
      <protection hidden="1"/>
    </xf>
    <xf numFmtId="0" fontId="34" fillId="0" borderId="6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10" xfId="0" applyBorder="1" applyProtection="1">
      <protection hidden="1"/>
    </xf>
    <xf numFmtId="0" fontId="0" fillId="0" borderId="10" xfId="0" applyBorder="1" applyAlignment="1" applyProtection="1">
      <alignment horizontal="right"/>
      <protection hidden="1"/>
    </xf>
    <xf numFmtId="0" fontId="17" fillId="0" borderId="6" xfId="0" applyFont="1" applyBorder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164" fontId="17" fillId="0" borderId="6" xfId="0" applyNumberFormat="1" applyFont="1" applyBorder="1" applyAlignment="1" applyProtection="1">
      <alignment horizontal="center"/>
      <protection hidden="1"/>
    </xf>
    <xf numFmtId="0" fontId="0" fillId="4" borderId="0" xfId="0" applyFill="1" applyProtection="1">
      <protection hidden="1"/>
    </xf>
    <xf numFmtId="164" fontId="19" fillId="0" borderId="6" xfId="0" applyNumberFormat="1" applyFont="1" applyBorder="1" applyAlignment="1" applyProtection="1">
      <alignment horizontal="center"/>
      <protection hidden="1"/>
    </xf>
    <xf numFmtId="164" fontId="19" fillId="0" borderId="0" xfId="0" applyNumberFormat="1" applyFont="1" applyProtection="1">
      <protection hidden="1"/>
    </xf>
    <xf numFmtId="0" fontId="34" fillId="0" borderId="0" xfId="0" applyFont="1" applyAlignment="1" applyProtection="1">
      <alignment horizontal="center" vertical="center"/>
      <protection hidden="1"/>
    </xf>
    <xf numFmtId="1" fontId="43" fillId="0" borderId="0" xfId="0" applyNumberFormat="1" applyFont="1" applyAlignment="1" applyProtection="1">
      <alignment horizontal="center" vertical="center"/>
      <protection hidden="1"/>
    </xf>
    <xf numFmtId="164" fontId="17" fillId="0" borderId="6" xfId="0" applyNumberFormat="1" applyFont="1" applyBorder="1" applyAlignment="1" applyProtection="1">
      <alignment horizontal="left"/>
      <protection hidden="1"/>
    </xf>
    <xf numFmtId="0" fontId="34" fillId="0" borderId="0" xfId="0" applyFont="1" applyAlignment="1" applyProtection="1">
      <alignment horizontal="right"/>
      <protection hidden="1"/>
    </xf>
    <xf numFmtId="0" fontId="18" fillId="0" borderId="13" xfId="0" applyFont="1" applyBorder="1"/>
    <xf numFmtId="0" fontId="1" fillId="0" borderId="14" xfId="0" applyFont="1" applyBorder="1" applyAlignment="1" applyProtection="1">
      <alignment horizontal="left" vertical="center" indent="2"/>
      <protection hidden="1"/>
    </xf>
    <xf numFmtId="0" fontId="0" fillId="0" borderId="26" xfId="0" applyBorder="1" applyAlignment="1" applyProtection="1">
      <alignment horizontal="right"/>
      <protection hidden="1"/>
    </xf>
    <xf numFmtId="0" fontId="1" fillId="0" borderId="26" xfId="0" applyFont="1" applyBorder="1" applyAlignment="1" applyProtection="1">
      <alignment horizontal="left" vertical="center" wrapText="1" indent="2"/>
      <protection hidden="1"/>
    </xf>
    <xf numFmtId="164" fontId="1" fillId="0" borderId="26" xfId="0" applyNumberFormat="1" applyFont="1" applyBorder="1" applyAlignment="1" applyProtection="1">
      <alignment horizontal="center" vertical="center"/>
      <protection hidden="1"/>
    </xf>
    <xf numFmtId="0" fontId="10" fillId="0" borderId="0" xfId="2" applyFont="1" applyFill="1" applyBorder="1" applyAlignment="1" applyProtection="1">
      <alignment vertical="top"/>
      <protection hidden="1"/>
    </xf>
    <xf numFmtId="0" fontId="0" fillId="10" borderId="0" xfId="0" applyFill="1"/>
    <xf numFmtId="0" fontId="0" fillId="11" borderId="0" xfId="0" applyFill="1"/>
    <xf numFmtId="0" fontId="0" fillId="0" borderId="0" xfId="0" applyAlignment="1">
      <alignment wrapText="1"/>
    </xf>
    <xf numFmtId="14" fontId="0" fillId="10" borderId="0" xfId="0" applyNumberFormat="1" applyFill="1"/>
    <xf numFmtId="0" fontId="0" fillId="10" borderId="0" xfId="0" applyFill="1" applyAlignment="1">
      <alignment wrapText="1"/>
    </xf>
    <xf numFmtId="0" fontId="0" fillId="11" borderId="0" xfId="0" applyFill="1" applyAlignment="1">
      <alignment wrapText="1"/>
    </xf>
    <xf numFmtId="14" fontId="0" fillId="11" borderId="0" xfId="0" applyNumberFormat="1" applyFill="1"/>
    <xf numFmtId="0" fontId="44" fillId="5" borderId="4" xfId="0" applyFont="1" applyFill="1" applyBorder="1" applyAlignment="1">
      <alignment horizontal="center" vertical="top" wrapText="1"/>
    </xf>
    <xf numFmtId="0" fontId="44" fillId="6" borderId="4" xfId="0" applyFont="1" applyFill="1" applyBorder="1" applyAlignment="1">
      <alignment horizontal="center" vertical="top" wrapText="1"/>
    </xf>
    <xf numFmtId="0" fontId="44" fillId="8" borderId="4" xfId="0" applyFont="1" applyFill="1" applyBorder="1" applyAlignment="1">
      <alignment horizontal="center" vertical="top" wrapText="1"/>
    </xf>
    <xf numFmtId="0" fontId="44" fillId="4" borderId="4" xfId="0" applyFont="1" applyFill="1" applyBorder="1" applyAlignment="1">
      <alignment horizontal="center" vertical="top" wrapText="1"/>
    </xf>
    <xf numFmtId="0" fontId="18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0" borderId="0" xfId="0" applyFont="1"/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2" xfId="0" quotePrefix="1" applyBorder="1" applyAlignment="1">
      <alignment horizontal="center"/>
    </xf>
    <xf numFmtId="0" fontId="45" fillId="0" borderId="14" xfId="0" applyFont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12" borderId="0" xfId="0" applyFill="1" applyProtection="1">
      <protection hidden="1"/>
    </xf>
    <xf numFmtId="0" fontId="28" fillId="0" borderId="0" xfId="0" applyFont="1" applyAlignment="1" applyProtection="1">
      <alignment horizontal="left" vertical="center" wrapText="1"/>
      <protection hidden="1"/>
    </xf>
    <xf numFmtId="0" fontId="0" fillId="0" borderId="0" xfId="0" quotePrefix="1"/>
    <xf numFmtId="0" fontId="28" fillId="0" borderId="0" xfId="0" applyFont="1" applyAlignment="1" applyProtection="1">
      <alignment vertical="center" wrapText="1"/>
      <protection hidden="1"/>
    </xf>
    <xf numFmtId="0" fontId="30" fillId="0" borderId="0" xfId="0" applyFont="1" applyAlignment="1" applyProtection="1">
      <alignment horizontal="left"/>
      <protection hidden="1"/>
    </xf>
    <xf numFmtId="0" fontId="32" fillId="0" borderId="5" xfId="0" applyFont="1" applyBorder="1" applyAlignment="1" applyProtection="1">
      <alignment horizontal="center" vertical="center"/>
      <protection hidden="1"/>
    </xf>
    <xf numFmtId="0" fontId="46" fillId="0" borderId="0" xfId="0" applyFont="1" applyProtection="1">
      <protection hidden="1"/>
    </xf>
    <xf numFmtId="14" fontId="46" fillId="0" borderId="0" xfId="0" applyNumberFormat="1" applyFont="1" applyAlignment="1" applyProtection="1">
      <alignment horizontal="center"/>
      <protection hidden="1"/>
    </xf>
    <xf numFmtId="0" fontId="30" fillId="12" borderId="33" xfId="0" applyFont="1" applyFill="1" applyBorder="1" applyAlignment="1" applyProtection="1">
      <alignment horizontal="left" vertical="center" indent="2"/>
      <protection hidden="1"/>
    </xf>
    <xf numFmtId="0" fontId="30" fillId="12" borderId="34" xfId="0" applyFont="1" applyFill="1" applyBorder="1" applyAlignment="1" applyProtection="1">
      <alignment horizontal="left" vertical="center" indent="2"/>
      <protection hidden="1"/>
    </xf>
    <xf numFmtId="0" fontId="47" fillId="0" borderId="0" xfId="0" applyFont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left" vertical="center" wrapText="1" indent="2"/>
      <protection hidden="1"/>
    </xf>
    <xf numFmtId="0" fontId="32" fillId="0" borderId="0" xfId="0" applyFont="1" applyAlignment="1" applyProtection="1">
      <alignment horizontal="left" vertical="center"/>
      <protection hidden="1"/>
    </xf>
    <xf numFmtId="0" fontId="48" fillId="0" borderId="0" xfId="0" applyFont="1" applyAlignment="1" applyProtection="1">
      <alignment horizontal="left" vertical="center" wrapText="1" indent="1"/>
      <protection hidden="1"/>
    </xf>
    <xf numFmtId="14" fontId="36" fillId="0" borderId="0" xfId="0" applyNumberFormat="1" applyFont="1" applyAlignment="1" applyProtection="1">
      <alignment horizontal="left" vertical="center" wrapText="1" indent="1"/>
      <protection hidden="1"/>
    </xf>
    <xf numFmtId="0" fontId="30" fillId="0" borderId="0" xfId="0" applyFont="1" applyAlignment="1" applyProtection="1">
      <alignment horizontal="center" vertical="center"/>
      <protection hidden="1"/>
    </xf>
    <xf numFmtId="0" fontId="47" fillId="0" borderId="0" xfId="0" applyFont="1" applyAlignment="1" applyProtection="1">
      <alignment horizontal="left" vertical="center" indent="2"/>
      <protection hidden="1"/>
    </xf>
    <xf numFmtId="0" fontId="47" fillId="0" borderId="0" xfId="0" applyFont="1" applyAlignment="1" applyProtection="1">
      <alignment horizontal="left" vertical="center" wrapText="1" indent="2"/>
      <protection hidden="1"/>
    </xf>
    <xf numFmtId="0" fontId="49" fillId="0" borderId="0" xfId="0" applyFont="1" applyAlignment="1" applyProtection="1">
      <alignment horizontal="left" vertical="center"/>
      <protection hidden="1"/>
    </xf>
    <xf numFmtId="0" fontId="50" fillId="0" borderId="0" xfId="0" applyFont="1" applyAlignment="1" applyProtection="1">
      <alignment horizontal="left" vertical="center" wrapText="1" indent="1"/>
      <protection hidden="1"/>
    </xf>
    <xf numFmtId="14" fontId="51" fillId="0" borderId="0" xfId="0" applyNumberFormat="1" applyFont="1" applyAlignment="1" applyProtection="1">
      <alignment horizontal="left" vertical="center" wrapText="1" indent="1"/>
      <protection hidden="1"/>
    </xf>
    <xf numFmtId="0" fontId="52" fillId="12" borderId="35" xfId="0" applyFont="1" applyFill="1" applyBorder="1" applyProtection="1">
      <protection hidden="1"/>
    </xf>
    <xf numFmtId="0" fontId="0" fillId="12" borderId="33" xfId="0" applyFill="1" applyBorder="1" applyProtection="1">
      <protection hidden="1"/>
    </xf>
    <xf numFmtId="0" fontId="0" fillId="12" borderId="34" xfId="0" applyFill="1" applyBorder="1" applyProtection="1">
      <protection hidden="1"/>
    </xf>
    <xf numFmtId="0" fontId="36" fillId="0" borderId="34" xfId="0" applyFont="1" applyBorder="1" applyAlignment="1" applyProtection="1">
      <alignment horizontal="left" vertical="top" wrapText="1"/>
      <protection hidden="1"/>
    </xf>
    <xf numFmtId="0" fontId="0" fillId="0" borderId="34" xfId="0" applyBorder="1" applyProtection="1">
      <protection hidden="1"/>
    </xf>
    <xf numFmtId="0" fontId="0" fillId="0" borderId="33" xfId="0" applyBorder="1" applyProtection="1">
      <protection hidden="1"/>
    </xf>
    <xf numFmtId="0" fontId="28" fillId="0" borderId="0" xfId="0" applyFont="1" applyAlignment="1" applyProtection="1">
      <alignment horizontal="left" wrapText="1"/>
      <protection hidden="1"/>
    </xf>
    <xf numFmtId="0" fontId="22" fillId="2" borderId="1" xfId="0" applyFont="1" applyFill="1" applyBorder="1" applyAlignment="1" applyProtection="1">
      <alignment horizontal="left" vertical="center"/>
      <protection hidden="1"/>
    </xf>
    <xf numFmtId="0" fontId="32" fillId="0" borderId="0" xfId="0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33" xfId="0" applyFont="1" applyBorder="1" applyAlignment="1" applyProtection="1">
      <alignment horizontal="left"/>
      <protection hidden="1"/>
    </xf>
    <xf numFmtId="0" fontId="52" fillId="0" borderId="6" xfId="0" applyFont="1" applyBorder="1" applyAlignment="1" applyProtection="1">
      <alignment horizontal="center"/>
      <protection hidden="1"/>
    </xf>
    <xf numFmtId="0" fontId="32" fillId="0" borderId="0" xfId="0" applyFont="1" applyProtection="1">
      <protection hidden="1"/>
    </xf>
    <xf numFmtId="0" fontId="52" fillId="0" borderId="5" xfId="0" applyFont="1" applyBorder="1" applyProtection="1">
      <protection hidden="1"/>
    </xf>
    <xf numFmtId="0" fontId="52" fillId="13" borderId="6" xfId="0" applyFont="1" applyFill="1" applyBorder="1" applyAlignment="1" applyProtection="1">
      <alignment horizontal="center"/>
      <protection hidden="1"/>
    </xf>
    <xf numFmtId="0" fontId="30" fillId="12" borderId="33" xfId="0" applyFont="1" applyFill="1" applyBorder="1" applyProtection="1">
      <protection hidden="1"/>
    </xf>
    <xf numFmtId="49" fontId="30" fillId="13" borderId="33" xfId="0" applyNumberFormat="1" applyFont="1" applyFill="1" applyBorder="1" applyAlignment="1" applyProtection="1">
      <alignment wrapText="1"/>
      <protection hidden="1"/>
    </xf>
    <xf numFmtId="0" fontId="52" fillId="13" borderId="5" xfId="0" applyFont="1" applyFill="1" applyBorder="1" applyProtection="1">
      <protection hidden="1"/>
    </xf>
    <xf numFmtId="0" fontId="30" fillId="12" borderId="34" xfId="0" applyFont="1" applyFill="1" applyBorder="1" applyProtection="1">
      <protection hidden="1"/>
    </xf>
    <xf numFmtId="49" fontId="30" fillId="12" borderId="34" xfId="0" applyNumberFormat="1" applyFont="1" applyFill="1" applyBorder="1" applyAlignment="1" applyProtection="1">
      <alignment wrapText="1"/>
      <protection hidden="1"/>
    </xf>
    <xf numFmtId="0" fontId="30" fillId="0" borderId="0" xfId="0" applyFont="1" applyAlignment="1" applyProtection="1">
      <alignment wrapText="1"/>
      <protection hidden="1"/>
    </xf>
    <xf numFmtId="0" fontId="30" fillId="0" borderId="33" xfId="0" applyFont="1" applyBorder="1" applyProtection="1">
      <protection hidden="1"/>
    </xf>
    <xf numFmtId="0" fontId="0" fillId="0" borderId="12" xfId="0" applyBorder="1" applyProtection="1">
      <protection hidden="1"/>
    </xf>
    <xf numFmtId="0" fontId="0" fillId="0" borderId="36" xfId="0" applyBorder="1" applyProtection="1">
      <protection hidden="1"/>
    </xf>
    <xf numFmtId="0" fontId="0" fillId="0" borderId="4" xfId="0" applyBorder="1" applyAlignment="1" applyProtection="1">
      <alignment horizontal="left"/>
      <protection hidden="1"/>
    </xf>
    <xf numFmtId="0" fontId="0" fillId="0" borderId="8" xfId="0" applyBorder="1" applyAlignment="1" applyProtection="1">
      <alignment horizontal="left"/>
      <protection hidden="1"/>
    </xf>
    <xf numFmtId="14" fontId="0" fillId="0" borderId="4" xfId="0" applyNumberFormat="1" applyBorder="1" applyAlignment="1" applyProtection="1">
      <alignment horizontal="left"/>
      <protection hidden="1"/>
    </xf>
    <xf numFmtId="14" fontId="0" fillId="0" borderId="4" xfId="0" applyNumberFormat="1" applyBorder="1" applyAlignment="1" applyProtection="1">
      <alignment horizontal="center"/>
      <protection hidden="1"/>
    </xf>
    <xf numFmtId="0" fontId="30" fillId="0" borderId="0" xfId="0" applyFont="1" applyAlignment="1" applyProtection="1">
      <alignment horizontal="left" wrapText="1"/>
      <protection hidden="1"/>
    </xf>
    <xf numFmtId="0" fontId="52" fillId="0" borderId="0" xfId="0" applyFont="1" applyProtection="1">
      <protection hidden="1"/>
    </xf>
    <xf numFmtId="0" fontId="52" fillId="13" borderId="37" xfId="0" applyFont="1" applyFill="1" applyBorder="1" applyAlignment="1" applyProtection="1">
      <alignment horizontal="center"/>
      <protection hidden="1"/>
    </xf>
    <xf numFmtId="0" fontId="52" fillId="12" borderId="38" xfId="0" applyFont="1" applyFill="1" applyBorder="1" applyProtection="1">
      <protection hidden="1"/>
    </xf>
    <xf numFmtId="0" fontId="30" fillId="13" borderId="39" xfId="0" applyFont="1" applyFill="1" applyBorder="1" applyAlignment="1" applyProtection="1">
      <alignment vertical="center" wrapText="1"/>
      <protection hidden="1"/>
    </xf>
    <xf numFmtId="0" fontId="30" fillId="13" borderId="6" xfId="0" applyFont="1" applyFill="1" applyBorder="1" applyAlignment="1" applyProtection="1">
      <alignment vertical="center" wrapText="1"/>
      <protection hidden="1"/>
    </xf>
    <xf numFmtId="0" fontId="30" fillId="13" borderId="23" xfId="0" applyFont="1" applyFill="1" applyBorder="1" applyAlignment="1" applyProtection="1">
      <alignment vertical="center" wrapText="1"/>
      <protection hidden="1"/>
    </xf>
    <xf numFmtId="0" fontId="0" fillId="0" borderId="0" xfId="0" quotePrefix="1" applyAlignment="1" applyProtection="1">
      <alignment horizontal="center"/>
      <protection hidden="1"/>
    </xf>
    <xf numFmtId="0" fontId="34" fillId="0" borderId="0" xfId="0" applyFont="1" applyProtection="1">
      <protection hidden="1"/>
    </xf>
    <xf numFmtId="0" fontId="53" fillId="0" borderId="0" xfId="0" applyFont="1" applyAlignment="1" applyProtection="1">
      <alignment horizontal="right"/>
      <protection hidden="1"/>
    </xf>
    <xf numFmtId="0" fontId="30" fillId="12" borderId="0" xfId="0" applyFont="1" applyFill="1" applyAlignment="1" applyProtection="1">
      <alignment horizontal="left"/>
      <protection hidden="1"/>
    </xf>
    <xf numFmtId="0" fontId="2" fillId="12" borderId="0" xfId="0" applyFont="1" applyFill="1" applyAlignment="1" applyProtection="1">
      <alignment horizontal="left"/>
      <protection hidden="1"/>
    </xf>
    <xf numFmtId="0" fontId="44" fillId="7" borderId="4" xfId="0" applyFont="1" applyFill="1" applyBorder="1" applyAlignment="1">
      <alignment horizontal="center" vertical="top" wrapText="1"/>
    </xf>
    <xf numFmtId="0" fontId="30" fillId="13" borderId="40" xfId="0" applyFont="1" applyFill="1" applyBorder="1" applyAlignment="1" applyProtection="1">
      <alignment vertical="center" wrapText="1"/>
      <protection hidden="1"/>
    </xf>
    <xf numFmtId="0" fontId="52" fillId="12" borderId="37" xfId="0" applyFont="1" applyFill="1" applyBorder="1" applyAlignment="1" applyProtection="1">
      <alignment horizontal="center"/>
      <protection hidden="1"/>
    </xf>
    <xf numFmtId="164" fontId="31" fillId="0" borderId="0" xfId="0" applyNumberFormat="1" applyFont="1" applyAlignment="1" applyProtection="1">
      <alignment horizontal="center" vertical="center"/>
      <protection hidden="1"/>
    </xf>
    <xf numFmtId="49" fontId="30" fillId="12" borderId="33" xfId="0" applyNumberFormat="1" applyFont="1" applyFill="1" applyBorder="1" applyAlignment="1" applyProtection="1">
      <alignment wrapText="1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43" fillId="0" borderId="0" xfId="0" applyFont="1" applyAlignment="1" applyProtection="1">
      <alignment horizontal="right"/>
      <protection hidden="1"/>
    </xf>
    <xf numFmtId="0" fontId="34" fillId="0" borderId="0" xfId="0" applyFont="1" applyAlignment="1" applyProtection="1">
      <alignment horizontal="left"/>
      <protection hidden="1"/>
    </xf>
    <xf numFmtId="14" fontId="0" fillId="0" borderId="34" xfId="0" applyNumberFormat="1" applyBorder="1" applyProtection="1">
      <protection hidden="1"/>
    </xf>
    <xf numFmtId="14" fontId="0" fillId="0" borderId="36" xfId="0" applyNumberFormat="1" applyBorder="1" applyProtection="1">
      <protection hidden="1"/>
    </xf>
    <xf numFmtId="0" fontId="54" fillId="0" borderId="12" xfId="0" applyFont="1" applyBorder="1" applyProtection="1">
      <protection hidden="1"/>
    </xf>
    <xf numFmtId="0" fontId="18" fillId="14" borderId="4" xfId="0" applyFont="1" applyFill="1" applyBorder="1" applyAlignment="1">
      <alignment horizontal="center"/>
    </xf>
    <xf numFmtId="0" fontId="26" fillId="14" borderId="4" xfId="0" applyFont="1" applyFill="1" applyBorder="1" applyAlignment="1">
      <alignment horizontal="center" vertical="top"/>
    </xf>
    <xf numFmtId="0" fontId="0" fillId="0" borderId="4" xfId="0" applyBorder="1" applyAlignment="1">
      <alignment horizontal="left"/>
    </xf>
    <xf numFmtId="0" fontId="18" fillId="0" borderId="41" xfId="0" applyFont="1" applyBorder="1" applyAlignment="1">
      <alignment horizontal="center" vertical="center" wrapText="1"/>
    </xf>
    <xf numFmtId="0" fontId="0" fillId="0" borderId="42" xfId="0" applyBorder="1"/>
    <xf numFmtId="0" fontId="0" fillId="0" borderId="30" xfId="0" applyBorder="1" applyAlignment="1">
      <alignment horizontal="left"/>
    </xf>
    <xf numFmtId="0" fontId="0" fillId="0" borderId="43" xfId="0" applyBorder="1"/>
    <xf numFmtId="0" fontId="0" fillId="0" borderId="44" xfId="0" applyBorder="1" applyAlignment="1">
      <alignment horizontal="center"/>
    </xf>
    <xf numFmtId="0" fontId="0" fillId="12" borderId="0" xfId="0" applyFill="1"/>
    <xf numFmtId="0" fontId="0" fillId="0" borderId="0" xfId="0" applyAlignment="1" applyProtection="1">
      <alignment horizontal="left" vertical="center"/>
      <protection hidden="1"/>
    </xf>
    <xf numFmtId="0" fontId="0" fillId="4" borderId="0" xfId="0" applyFill="1" applyAlignment="1" applyProtection="1">
      <alignment vertical="center"/>
      <protection hidden="1"/>
    </xf>
    <xf numFmtId="0" fontId="55" fillId="0" borderId="0" xfId="2" applyFont="1" applyAlignment="1" applyProtection="1">
      <alignment horizontal="center" vertical="center" wrapText="1"/>
      <protection locked="0" hidden="1"/>
    </xf>
    <xf numFmtId="0" fontId="0" fillId="0" borderId="4" xfId="0" applyBorder="1" applyProtection="1">
      <protection hidden="1"/>
    </xf>
    <xf numFmtId="14" fontId="0" fillId="0" borderId="4" xfId="0" applyNumberFormat="1" applyBorder="1" applyProtection="1">
      <protection hidden="1"/>
    </xf>
    <xf numFmtId="0" fontId="0" fillId="8" borderId="0" xfId="0" applyFill="1" applyProtection="1">
      <protection hidden="1"/>
    </xf>
    <xf numFmtId="0" fontId="0" fillId="15" borderId="0" xfId="0" applyFill="1" applyProtection="1">
      <protection hidden="1"/>
    </xf>
    <xf numFmtId="0" fontId="40" fillId="4" borderId="0" xfId="0" applyFont="1" applyFill="1" applyProtection="1">
      <protection hidden="1"/>
    </xf>
    <xf numFmtId="0" fontId="0" fillId="11" borderId="0" xfId="0" applyFill="1" applyProtection="1">
      <protection hidden="1"/>
    </xf>
    <xf numFmtId="14" fontId="0" fillId="11" borderId="4" xfId="0" applyNumberFormat="1" applyFill="1" applyBorder="1" applyProtection="1">
      <protection hidden="1"/>
    </xf>
    <xf numFmtId="0" fontId="30" fillId="0" borderId="0" xfId="0" applyFont="1" applyAlignment="1" applyProtection="1">
      <alignment horizontal="left" vertical="top" wrapText="1"/>
      <protection hidden="1"/>
    </xf>
    <xf numFmtId="0" fontId="22" fillId="2" borderId="2" xfId="2" applyFont="1" applyFill="1" applyBorder="1" applyAlignment="1" applyProtection="1">
      <alignment horizontal="right" vertical="top" indent="1"/>
      <protection hidden="1"/>
    </xf>
    <xf numFmtId="0" fontId="30" fillId="0" borderId="45" xfId="0" applyFont="1" applyBorder="1" applyAlignment="1" applyProtection="1">
      <alignment horizontal="left" vertical="center"/>
      <protection hidden="1"/>
    </xf>
    <xf numFmtId="49" fontId="0" fillId="0" borderId="45" xfId="0" quotePrefix="1" applyNumberFormat="1" applyBorder="1" applyAlignment="1" applyProtection="1">
      <alignment vertical="top"/>
      <protection hidden="1"/>
    </xf>
    <xf numFmtId="0" fontId="34" fillId="0" borderId="0" xfId="0" applyFont="1" applyAlignment="1" applyProtection="1">
      <alignment vertical="top"/>
      <protection hidden="1"/>
    </xf>
    <xf numFmtId="0" fontId="0" fillId="0" borderId="0" xfId="0" applyAlignment="1" applyProtection="1">
      <alignment vertical="top"/>
      <protection hidden="1"/>
    </xf>
    <xf numFmtId="0" fontId="16" fillId="0" borderId="0" xfId="0" applyFont="1" applyAlignment="1" applyProtection="1">
      <alignment horizontal="left" vertical="center" indent="2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30" fillId="13" borderId="35" xfId="0" applyFont="1" applyFill="1" applyBorder="1" applyProtection="1">
      <protection hidden="1"/>
    </xf>
    <xf numFmtId="0" fontId="56" fillId="13" borderId="35" xfId="0" applyFont="1" applyFill="1" applyBorder="1" applyProtection="1">
      <protection hidden="1"/>
    </xf>
    <xf numFmtId="0" fontId="30" fillId="12" borderId="35" xfId="0" applyFont="1" applyFill="1" applyBorder="1" applyProtection="1">
      <protection hidden="1"/>
    </xf>
    <xf numFmtId="0" fontId="56" fillId="12" borderId="35" xfId="0" applyFont="1" applyFill="1" applyBorder="1" applyProtection="1">
      <protection hidden="1"/>
    </xf>
    <xf numFmtId="0" fontId="56" fillId="12" borderId="46" xfId="0" applyFont="1" applyFill="1" applyBorder="1" applyProtection="1">
      <protection hidden="1"/>
    </xf>
    <xf numFmtId="0" fontId="30" fillId="12" borderId="47" xfId="0" applyFont="1" applyFill="1" applyBorder="1" applyProtection="1">
      <protection hidden="1"/>
    </xf>
    <xf numFmtId="0" fontId="30" fillId="12" borderId="46" xfId="0" applyFont="1" applyFill="1" applyBorder="1" applyProtection="1">
      <protection hidden="1"/>
    </xf>
    <xf numFmtId="0" fontId="57" fillId="0" borderId="45" xfId="0" applyFont="1" applyBorder="1" applyAlignment="1" applyProtection="1">
      <alignment wrapText="1"/>
      <protection hidden="1"/>
    </xf>
    <xf numFmtId="0" fontId="57" fillId="0" borderId="0" xfId="0" applyFont="1" applyAlignment="1" applyProtection="1">
      <alignment wrapText="1"/>
      <protection hidden="1"/>
    </xf>
    <xf numFmtId="0" fontId="34" fillId="0" borderId="0" xfId="0" applyFont="1" applyAlignment="1" applyProtection="1">
      <alignment vertical="top" wrapText="1"/>
      <protection hidden="1"/>
    </xf>
    <xf numFmtId="0" fontId="0" fillId="0" borderId="0" xfId="0" quotePrefix="1" applyAlignment="1" applyProtection="1">
      <alignment vertical="top"/>
      <protection hidden="1"/>
    </xf>
    <xf numFmtId="0" fontId="0" fillId="0" borderId="0" xfId="0" quotePrefix="1" applyAlignment="1" applyProtection="1">
      <alignment vertical="top" wrapText="1"/>
      <protection hidden="1"/>
    </xf>
    <xf numFmtId="0" fontId="58" fillId="0" borderId="0" xfId="0" applyFont="1" applyAlignment="1" applyProtection="1">
      <alignment horizontal="right"/>
      <protection hidden="1"/>
    </xf>
    <xf numFmtId="0" fontId="59" fillId="0" borderId="0" xfId="2" applyFont="1" applyFill="1" applyBorder="1" applyAlignment="1" applyProtection="1">
      <alignment vertical="center" wrapText="1"/>
      <protection locked="0" hidden="1"/>
    </xf>
    <xf numFmtId="0" fontId="3" fillId="0" borderId="0" xfId="0" applyFont="1" applyAlignment="1" applyProtection="1">
      <alignment horizontal="center" vertical="center" wrapText="1"/>
      <protection hidden="1"/>
    </xf>
    <xf numFmtId="0" fontId="28" fillId="0" borderId="0" xfId="0" applyFont="1" applyAlignment="1" applyProtection="1">
      <alignment horizontal="left" vertical="top" wrapText="1"/>
      <protection hidden="1"/>
    </xf>
    <xf numFmtId="0" fontId="60" fillId="0" borderId="0" xfId="0" applyFont="1" applyAlignment="1" applyProtection="1">
      <alignment horizontal="left" vertical="center" indent="5"/>
      <protection hidden="1"/>
    </xf>
    <xf numFmtId="0" fontId="30" fillId="0" borderId="0" xfId="0" applyFont="1" applyAlignment="1" applyProtection="1">
      <alignment horizontal="right"/>
      <protection hidden="1"/>
    </xf>
    <xf numFmtId="0" fontId="52" fillId="9" borderId="4" xfId="0" applyFont="1" applyFill="1" applyBorder="1" applyAlignment="1">
      <alignment horizontal="center"/>
    </xf>
    <xf numFmtId="0" fontId="5" fillId="9" borderId="4" xfId="0" applyFont="1" applyFill="1" applyBorder="1"/>
    <xf numFmtId="0" fontId="5" fillId="0" borderId="4" xfId="0" applyFont="1" applyBorder="1"/>
    <xf numFmtId="0" fontId="5" fillId="0" borderId="4" xfId="0" applyFont="1" applyBorder="1" applyAlignment="1">
      <alignment wrapText="1"/>
    </xf>
    <xf numFmtId="0" fontId="5" fillId="4" borderId="4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6" borderId="4" xfId="0" applyFont="1" applyFill="1" applyBorder="1" applyAlignment="1">
      <alignment horizontal="center" vertical="top" wrapText="1"/>
    </xf>
    <xf numFmtId="0" fontId="5" fillId="7" borderId="4" xfId="0" applyFont="1" applyFill="1" applyBorder="1" applyAlignment="1">
      <alignment horizontal="center"/>
    </xf>
    <xf numFmtId="0" fontId="72" fillId="8" borderId="4" xfId="0" applyFont="1" applyFill="1" applyBorder="1" applyAlignment="1">
      <alignment horizontal="center"/>
    </xf>
    <xf numFmtId="0" fontId="72" fillId="9" borderId="4" xfId="0" applyFont="1" applyFill="1" applyBorder="1" applyAlignment="1">
      <alignment horizontal="center"/>
    </xf>
    <xf numFmtId="0" fontId="5" fillId="0" borderId="0" xfId="0" applyFont="1"/>
    <xf numFmtId="0" fontId="5" fillId="0" borderId="4" xfId="0" applyFont="1" applyBorder="1" applyAlignment="1">
      <alignment vertical="top" wrapText="1"/>
    </xf>
    <xf numFmtId="0" fontId="5" fillId="16" borderId="4" xfId="0" applyFont="1" applyFill="1" applyBorder="1"/>
    <xf numFmtId="0" fontId="52" fillId="8" borderId="4" xfId="0" applyFont="1" applyFill="1" applyBorder="1" applyAlignment="1">
      <alignment horizontal="center"/>
    </xf>
    <xf numFmtId="14" fontId="5" fillId="9" borderId="4" xfId="0" applyNumberFormat="1" applyFont="1" applyFill="1" applyBorder="1"/>
    <xf numFmtId="3" fontId="5" fillId="6" borderId="4" xfId="0" applyNumberFormat="1" applyFont="1" applyFill="1" applyBorder="1" applyAlignment="1">
      <alignment horizontal="center" vertical="top" wrapText="1"/>
    </xf>
    <xf numFmtId="0" fontId="73" fillId="4" borderId="4" xfId="0" applyFont="1" applyFill="1" applyBorder="1" applyAlignment="1">
      <alignment horizontal="center" wrapText="1"/>
    </xf>
    <xf numFmtId="0" fontId="73" fillId="4" borderId="4" xfId="0" applyFont="1" applyFill="1" applyBorder="1" applyAlignment="1">
      <alignment horizontal="center" vertical="top" wrapText="1"/>
    </xf>
    <xf numFmtId="0" fontId="73" fillId="5" borderId="4" xfId="0" applyFont="1" applyFill="1" applyBorder="1" applyAlignment="1">
      <alignment horizontal="center" vertical="top" wrapText="1"/>
    </xf>
    <xf numFmtId="0" fontId="73" fillId="6" borderId="4" xfId="0" applyFont="1" applyFill="1" applyBorder="1" applyAlignment="1">
      <alignment horizontal="center" vertical="top" wrapText="1"/>
    </xf>
    <xf numFmtId="0" fontId="73" fillId="7" borderId="4" xfId="0" applyFont="1" applyFill="1" applyBorder="1" applyAlignment="1">
      <alignment horizontal="center"/>
    </xf>
    <xf numFmtId="0" fontId="71" fillId="8" borderId="4" xfId="0" applyFont="1" applyFill="1" applyBorder="1" applyAlignment="1">
      <alignment horizontal="center"/>
    </xf>
    <xf numFmtId="0" fontId="71" fillId="9" borderId="4" xfId="0" applyFont="1" applyFill="1" applyBorder="1" applyAlignment="1">
      <alignment horizontal="center"/>
    </xf>
    <xf numFmtId="0" fontId="73" fillId="9" borderId="4" xfId="0" applyFont="1" applyFill="1" applyBorder="1"/>
    <xf numFmtId="0" fontId="73" fillId="0" borderId="0" xfId="0" applyFont="1"/>
    <xf numFmtId="0" fontId="0" fillId="0" borderId="4" xfId="0" applyBorder="1" applyAlignment="1">
      <alignment wrapText="1"/>
    </xf>
    <xf numFmtId="0" fontId="2" fillId="17" borderId="0" xfId="0" applyFont="1" applyFill="1" applyAlignment="1" applyProtection="1">
      <alignment horizontal="left"/>
      <protection hidden="1"/>
    </xf>
    <xf numFmtId="0" fontId="30" fillId="0" borderId="0" xfId="0" applyFont="1" applyProtection="1">
      <protection locked="0"/>
    </xf>
    <xf numFmtId="0" fontId="2" fillId="0" borderId="48" xfId="0" applyFont="1" applyBorder="1" applyAlignment="1" applyProtection="1">
      <alignment horizontal="left" vertical="center" indent="5"/>
      <protection hidden="1"/>
    </xf>
    <xf numFmtId="0" fontId="30" fillId="17" borderId="0" xfId="0" applyFont="1" applyFill="1" applyAlignment="1" applyProtection="1">
      <alignment horizontal="left"/>
      <protection hidden="1"/>
    </xf>
    <xf numFmtId="0" fontId="0" fillId="17" borderId="0" xfId="0" applyFill="1" applyProtection="1">
      <protection hidden="1"/>
    </xf>
    <xf numFmtId="0" fontId="30" fillId="17" borderId="0" xfId="0" applyFont="1" applyFill="1" applyProtection="1">
      <protection locked="0"/>
    </xf>
    <xf numFmtId="0" fontId="34" fillId="17" borderId="0" xfId="0" applyFont="1" applyFill="1" applyProtection="1">
      <protection locked="0"/>
    </xf>
    <xf numFmtId="0" fontId="34" fillId="0" borderId="0" xfId="0" applyFont="1" applyProtection="1">
      <protection locked="0"/>
    </xf>
    <xf numFmtId="15" fontId="30" fillId="17" borderId="0" xfId="0" applyNumberFormat="1" applyFont="1" applyFill="1" applyProtection="1">
      <protection locked="0"/>
    </xf>
    <xf numFmtId="0" fontId="30" fillId="0" borderId="48" xfId="0" applyFont="1" applyBorder="1" applyProtection="1">
      <protection locked="0"/>
    </xf>
    <xf numFmtId="0" fontId="2" fillId="0" borderId="48" xfId="0" applyFont="1" applyBorder="1" applyAlignment="1" applyProtection="1">
      <alignment horizontal="left"/>
      <protection hidden="1"/>
    </xf>
    <xf numFmtId="0" fontId="0" fillId="0" borderId="48" xfId="0" applyBorder="1" applyProtection="1">
      <protection hidden="1"/>
    </xf>
    <xf numFmtId="0" fontId="74" fillId="0" borderId="0" xfId="0" applyFont="1"/>
    <xf numFmtId="0" fontId="75" fillId="0" borderId="0" xfId="0" applyFont="1"/>
    <xf numFmtId="0" fontId="76" fillId="0" borderId="0" xfId="0" applyFont="1"/>
    <xf numFmtId="0" fontId="70" fillId="0" borderId="70" xfId="0" applyFont="1" applyBorder="1" applyAlignment="1">
      <alignment horizontal="center"/>
    </xf>
    <xf numFmtId="0" fontId="0" fillId="0" borderId="70" xfId="0" applyBorder="1" applyAlignment="1">
      <alignment horizontal="center"/>
    </xf>
    <xf numFmtId="0" fontId="0" fillId="0" borderId="49" xfId="0" applyBorder="1"/>
    <xf numFmtId="0" fontId="0" fillId="0" borderId="48" xfId="0" applyBorder="1"/>
    <xf numFmtId="0" fontId="0" fillId="18" borderId="0" xfId="0" applyFill="1"/>
    <xf numFmtId="0" fontId="77" fillId="18" borderId="0" xfId="0" applyFont="1" applyFill="1"/>
    <xf numFmtId="0" fontId="0" fillId="0" borderId="7" xfId="0" applyBorder="1"/>
    <xf numFmtId="0" fontId="0" fillId="0" borderId="8" xfId="0" applyBorder="1"/>
    <xf numFmtId="0" fontId="0" fillId="0" borderId="50" xfId="0" applyBorder="1"/>
    <xf numFmtId="0" fontId="0" fillId="0" borderId="33" xfId="0" applyBorder="1"/>
    <xf numFmtId="0" fontId="0" fillId="0" borderId="51" xfId="0" applyBorder="1"/>
    <xf numFmtId="0" fontId="70" fillId="19" borderId="50" xfId="0" applyFont="1" applyFill="1" applyBorder="1"/>
    <xf numFmtId="0" fontId="70" fillId="19" borderId="33" xfId="0" applyFont="1" applyFill="1" applyBorder="1"/>
    <xf numFmtId="0" fontId="70" fillId="19" borderId="51" xfId="0" applyFont="1" applyFill="1" applyBorder="1"/>
    <xf numFmtId="0" fontId="78" fillId="0" borderId="0" xfId="0" applyFont="1"/>
    <xf numFmtId="0" fontId="0" fillId="17" borderId="70" xfId="0" applyFill="1" applyBorder="1" applyAlignment="1">
      <alignment horizontal="center"/>
    </xf>
    <xf numFmtId="0" fontId="0" fillId="18" borderId="0" xfId="0" applyFill="1" applyAlignment="1">
      <alignment vertical="top" wrapText="1"/>
    </xf>
    <xf numFmtId="0" fontId="70" fillId="19" borderId="49" xfId="0" applyFont="1" applyFill="1" applyBorder="1"/>
    <xf numFmtId="0" fontId="70" fillId="19" borderId="48" xfId="0" applyFont="1" applyFill="1" applyBorder="1"/>
    <xf numFmtId="0" fontId="70" fillId="19" borderId="52" xfId="0" applyFont="1" applyFill="1" applyBorder="1"/>
    <xf numFmtId="0" fontId="5" fillId="0" borderId="0" xfId="0" applyFont="1" applyAlignment="1">
      <alignment wrapText="1"/>
    </xf>
    <xf numFmtId="0" fontId="73" fillId="0" borderId="4" xfId="0" applyFont="1" applyBorder="1" applyAlignment="1">
      <alignment wrapText="1"/>
    </xf>
    <xf numFmtId="0" fontId="5" fillId="20" borderId="4" xfId="0" applyFont="1" applyFill="1" applyBorder="1"/>
    <xf numFmtId="0" fontId="79" fillId="2" borderId="1" xfId="0" applyFont="1" applyFill="1" applyBorder="1" applyAlignment="1" applyProtection="1">
      <alignment horizontal="left" vertical="center"/>
      <protection hidden="1"/>
    </xf>
    <xf numFmtId="0" fontId="30" fillId="0" borderId="0" xfId="0" applyFont="1" applyAlignment="1" applyProtection="1">
      <alignment horizontal="left" wrapText="1"/>
      <protection hidden="1"/>
    </xf>
    <xf numFmtId="0" fontId="0" fillId="0" borderId="0" xfId="0" applyAlignment="1">
      <alignment horizontal="left" wrapText="1"/>
    </xf>
    <xf numFmtId="14" fontId="30" fillId="13" borderId="4" xfId="0" applyNumberFormat="1" applyFont="1" applyFill="1" applyBorder="1" applyAlignment="1" applyProtection="1">
      <alignment horizontal="center" vertical="center"/>
      <protection hidden="1"/>
    </xf>
    <xf numFmtId="0" fontId="30" fillId="0" borderId="33" xfId="0" applyFont="1" applyBorder="1" applyAlignment="1" applyProtection="1">
      <alignment horizontal="left"/>
      <protection locked="0"/>
    </xf>
    <xf numFmtId="0" fontId="34" fillId="0" borderId="33" xfId="0" applyFont="1" applyBorder="1" applyAlignment="1" applyProtection="1">
      <alignment horizontal="left"/>
      <protection locked="0"/>
    </xf>
    <xf numFmtId="15" fontId="30" fillId="0" borderId="33" xfId="0" applyNumberFormat="1" applyFont="1" applyBorder="1" applyAlignment="1" applyProtection="1">
      <alignment horizontal="left"/>
      <protection locked="0"/>
    </xf>
    <xf numFmtId="0" fontId="0" fillId="0" borderId="33" xfId="0" applyBorder="1" applyAlignment="1" applyProtection="1">
      <alignment horizontal="left"/>
      <protection locked="0"/>
    </xf>
    <xf numFmtId="0" fontId="30" fillId="0" borderId="0" xfId="0" applyFont="1" applyAlignment="1" applyProtection="1">
      <alignment horizontal="right" vertical="top" wrapText="1"/>
      <protection hidden="1"/>
    </xf>
    <xf numFmtId="49" fontId="0" fillId="0" borderId="53" xfId="0" applyNumberFormat="1" applyBorder="1" applyAlignment="1" applyProtection="1">
      <alignment horizontal="center" vertical="center" wrapText="1"/>
      <protection locked="0"/>
    </xf>
    <xf numFmtId="49" fontId="0" fillId="0" borderId="54" xfId="0" applyNumberFormat="1" applyBorder="1" applyAlignment="1" applyProtection="1">
      <alignment horizontal="center" vertical="center" wrapText="1"/>
      <protection locked="0"/>
    </xf>
    <xf numFmtId="49" fontId="0" fillId="0" borderId="55" xfId="0" applyNumberFormat="1" applyBorder="1" applyAlignment="1" applyProtection="1">
      <alignment horizontal="center" vertical="center" wrapText="1"/>
      <protection locked="0"/>
    </xf>
    <xf numFmtId="49" fontId="0" fillId="0" borderId="56" xfId="0" applyNumberFormat="1" applyBorder="1" applyAlignment="1" applyProtection="1">
      <alignment horizontal="center" vertical="center" wrapText="1"/>
      <protection locked="0"/>
    </xf>
    <xf numFmtId="49" fontId="0" fillId="0" borderId="0" xfId="0" applyNumberFormat="1" applyAlignment="1" applyProtection="1">
      <alignment horizontal="center" vertical="center" wrapText="1"/>
      <protection locked="0"/>
    </xf>
    <xf numFmtId="49" fontId="0" fillId="0" borderId="5" xfId="0" applyNumberFormat="1" applyBorder="1" applyAlignment="1" applyProtection="1">
      <alignment horizontal="center" vertical="center" wrapText="1"/>
      <protection locked="0"/>
    </xf>
    <xf numFmtId="49" fontId="0" fillId="0" borderId="57" xfId="0" applyNumberFormat="1" applyBorder="1" applyAlignment="1" applyProtection="1">
      <alignment horizontal="center" vertical="center" wrapText="1"/>
      <protection locked="0"/>
    </xf>
    <xf numFmtId="49" fontId="0" fillId="0" borderId="58" xfId="0" applyNumberFormat="1" applyBorder="1" applyAlignment="1" applyProtection="1">
      <alignment horizontal="center" vertical="center" wrapText="1"/>
      <protection locked="0"/>
    </xf>
    <xf numFmtId="49" fontId="0" fillId="0" borderId="59" xfId="0" applyNumberFormat="1" applyBorder="1" applyAlignment="1" applyProtection="1">
      <alignment horizontal="center" vertical="center" wrapText="1"/>
      <protection locked="0"/>
    </xf>
    <xf numFmtId="165" fontId="30" fillId="13" borderId="53" xfId="0" applyNumberFormat="1" applyFont="1" applyFill="1" applyBorder="1" applyAlignment="1" applyProtection="1">
      <alignment horizontal="center" vertical="center" wrapText="1"/>
      <protection locked="0"/>
    </xf>
    <xf numFmtId="165" fontId="30" fillId="13" borderId="54" xfId="0" applyNumberFormat="1" applyFont="1" applyFill="1" applyBorder="1" applyAlignment="1" applyProtection="1">
      <alignment horizontal="center" vertical="center" wrapText="1"/>
      <protection locked="0"/>
    </xf>
    <xf numFmtId="165" fontId="30" fillId="13" borderId="60" xfId="0" applyNumberFormat="1" applyFont="1" applyFill="1" applyBorder="1" applyAlignment="1" applyProtection="1">
      <alignment horizontal="center" vertical="center" wrapText="1"/>
      <protection locked="0"/>
    </xf>
    <xf numFmtId="165" fontId="30" fillId="13" borderId="56" xfId="0" applyNumberFormat="1" applyFont="1" applyFill="1" applyBorder="1" applyAlignment="1" applyProtection="1">
      <alignment horizontal="center" vertical="center" wrapText="1"/>
      <protection locked="0"/>
    </xf>
    <xf numFmtId="165" fontId="30" fillId="13" borderId="0" xfId="0" applyNumberFormat="1" applyFont="1" applyFill="1" applyAlignment="1" applyProtection="1">
      <alignment horizontal="center" vertical="center" wrapText="1"/>
      <protection locked="0"/>
    </xf>
    <xf numFmtId="165" fontId="30" fillId="13" borderId="61" xfId="0" applyNumberFormat="1" applyFont="1" applyFill="1" applyBorder="1" applyAlignment="1" applyProtection="1">
      <alignment horizontal="center" vertical="center" wrapText="1"/>
      <protection locked="0"/>
    </xf>
    <xf numFmtId="165" fontId="30" fillId="13" borderId="57" xfId="0" applyNumberFormat="1" applyFont="1" applyFill="1" applyBorder="1" applyAlignment="1" applyProtection="1">
      <alignment horizontal="center" vertical="center" wrapText="1"/>
      <protection locked="0"/>
    </xf>
    <xf numFmtId="165" fontId="30" fillId="13" borderId="58" xfId="0" applyNumberFormat="1" applyFont="1" applyFill="1" applyBorder="1" applyAlignment="1" applyProtection="1">
      <alignment horizontal="center" vertical="center" wrapText="1"/>
      <protection locked="0"/>
    </xf>
    <xf numFmtId="165" fontId="30" fillId="13" borderId="62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left" vertical="center"/>
      <protection hidden="1"/>
    </xf>
    <xf numFmtId="0" fontId="30" fillId="0" borderId="33" xfId="0" applyFont="1" applyBorder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left" vertical="top" wrapText="1"/>
      <protection hidden="1"/>
    </xf>
    <xf numFmtId="0" fontId="30" fillId="0" borderId="0" xfId="0" applyFont="1" applyAlignment="1" applyProtection="1">
      <alignment horizontal="right" vertical="top"/>
      <protection hidden="1"/>
    </xf>
    <xf numFmtId="0" fontId="34" fillId="0" borderId="33" xfId="0" applyFont="1" applyBorder="1" applyAlignment="1" applyProtection="1">
      <alignment horizontal="left"/>
      <protection hidden="1"/>
    </xf>
    <xf numFmtId="0" fontId="47" fillId="0" borderId="0" xfId="0" applyFont="1" applyAlignment="1" applyProtection="1">
      <alignment horizontal="center"/>
      <protection hidden="1"/>
    </xf>
    <xf numFmtId="0" fontId="43" fillId="0" borderId="0" xfId="0" applyFont="1" applyAlignment="1" applyProtection="1">
      <alignment horizontal="left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30" fillId="12" borderId="47" xfId="0" applyFont="1" applyFill="1" applyBorder="1" applyAlignment="1" applyProtection="1">
      <alignment horizontal="left"/>
      <protection hidden="1"/>
    </xf>
    <xf numFmtId="0" fontId="30" fillId="12" borderId="35" xfId="0" applyFont="1" applyFill="1" applyBorder="1" applyAlignment="1" applyProtection="1">
      <alignment horizontal="left"/>
      <protection hidden="1"/>
    </xf>
    <xf numFmtId="0" fontId="30" fillId="12" borderId="46" xfId="0" applyFont="1" applyFill="1" applyBorder="1" applyAlignment="1" applyProtection="1">
      <alignment horizontal="left"/>
      <protection hidden="1"/>
    </xf>
    <xf numFmtId="0" fontId="80" fillId="0" borderId="10" xfId="0" applyFont="1" applyBorder="1" applyAlignment="1" applyProtection="1">
      <alignment horizontal="center" wrapText="1"/>
      <protection hidden="1"/>
    </xf>
    <xf numFmtId="0" fontId="80" fillId="0" borderId="10" xfId="0" applyFont="1" applyBorder="1" applyAlignment="1" applyProtection="1">
      <alignment horizontal="center"/>
      <protection hidden="1"/>
    </xf>
    <xf numFmtId="0" fontId="30" fillId="13" borderId="34" xfId="0" applyFont="1" applyFill="1" applyBorder="1" applyAlignment="1" applyProtection="1">
      <alignment horizontal="left" wrapText="1"/>
      <protection hidden="1"/>
    </xf>
    <xf numFmtId="0" fontId="34" fillId="0" borderId="34" xfId="0" applyFont="1" applyBorder="1" applyAlignment="1" applyProtection="1">
      <alignment horizontal="left"/>
      <protection locked="0"/>
    </xf>
    <xf numFmtId="0" fontId="30" fillId="13" borderId="53" xfId="0" applyFont="1" applyFill="1" applyBorder="1" applyAlignment="1" applyProtection="1">
      <alignment horizontal="center" vertical="center" wrapText="1"/>
      <protection hidden="1"/>
    </xf>
    <xf numFmtId="0" fontId="30" fillId="13" borderId="54" xfId="0" applyFont="1" applyFill="1" applyBorder="1" applyAlignment="1" applyProtection="1">
      <alignment horizontal="center" vertical="center" wrapText="1"/>
      <protection hidden="1"/>
    </xf>
    <xf numFmtId="0" fontId="30" fillId="13" borderId="56" xfId="0" applyFont="1" applyFill="1" applyBorder="1" applyAlignment="1" applyProtection="1">
      <alignment horizontal="center" vertical="center" wrapText="1"/>
      <protection hidden="1"/>
    </xf>
    <xf numFmtId="0" fontId="30" fillId="13" borderId="0" xfId="0" applyFont="1" applyFill="1" applyAlignment="1" applyProtection="1">
      <alignment horizontal="center" vertical="center" wrapText="1"/>
      <protection hidden="1"/>
    </xf>
    <xf numFmtId="0" fontId="30" fillId="13" borderId="57" xfId="0" applyFont="1" applyFill="1" applyBorder="1" applyAlignment="1" applyProtection="1">
      <alignment horizontal="center" vertical="center" wrapText="1"/>
      <protection hidden="1"/>
    </xf>
    <xf numFmtId="0" fontId="30" fillId="13" borderId="58" xfId="0" applyFont="1" applyFill="1" applyBorder="1" applyAlignment="1" applyProtection="1">
      <alignment horizontal="center" vertical="center" wrapText="1"/>
      <protection hidden="1"/>
    </xf>
    <xf numFmtId="4" fontId="30" fillId="13" borderId="4" xfId="0" applyNumberFormat="1" applyFont="1" applyFill="1" applyBorder="1" applyAlignment="1" applyProtection="1">
      <alignment horizontal="right" vertical="center" wrapText="1"/>
      <protection locked="0"/>
    </xf>
    <xf numFmtId="49" fontId="30" fillId="13" borderId="63" xfId="0" applyNumberFormat="1" applyFont="1" applyFill="1" applyBorder="1" applyAlignment="1" applyProtection="1">
      <alignment horizontal="left"/>
      <protection locked="0"/>
    </xf>
    <xf numFmtId="49" fontId="30" fillId="13" borderId="64" xfId="0" applyNumberFormat="1" applyFont="1" applyFill="1" applyBorder="1" applyAlignment="1" applyProtection="1">
      <alignment horizontal="left"/>
      <protection locked="0"/>
    </xf>
    <xf numFmtId="0" fontId="30" fillId="13" borderId="4" xfId="0" applyFont="1" applyFill="1" applyBorder="1" applyAlignment="1" applyProtection="1">
      <alignment horizontal="center"/>
      <protection hidden="1"/>
    </xf>
    <xf numFmtId="0" fontId="30" fillId="12" borderId="4" xfId="0" applyFont="1" applyFill="1" applyBorder="1" applyAlignment="1" applyProtection="1">
      <alignment horizontal="center" vertical="center"/>
      <protection hidden="1"/>
    </xf>
    <xf numFmtId="0" fontId="81" fillId="0" borderId="0" xfId="2" applyFont="1" applyFill="1" applyBorder="1" applyAlignment="1" applyProtection="1">
      <alignment horizontal="left" vertical="center" wrapText="1"/>
      <protection locked="0" hidden="1"/>
    </xf>
    <xf numFmtId="0" fontId="3" fillId="0" borderId="0" xfId="0" applyFont="1" applyAlignment="1" applyProtection="1">
      <alignment horizontal="left" vertical="center"/>
      <protection hidden="1"/>
    </xf>
    <xf numFmtId="0" fontId="30" fillId="0" borderId="0" xfId="0" applyFont="1" applyAlignment="1" applyProtection="1">
      <alignment wrapText="1"/>
      <protection hidden="1"/>
    </xf>
    <xf numFmtId="0" fontId="0" fillId="0" borderId="0" xfId="0"/>
    <xf numFmtId="0" fontId="30" fillId="12" borderId="4" xfId="0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left" vertical="center" wrapText="1"/>
      <protection hidden="1"/>
    </xf>
    <xf numFmtId="0" fontId="61" fillId="0" borderId="4" xfId="0" applyFont="1" applyBorder="1" applyAlignment="1" applyProtection="1">
      <alignment horizontal="center" vertical="center" wrapText="1"/>
      <protection hidden="1"/>
    </xf>
    <xf numFmtId="14" fontId="8" fillId="8" borderId="4" xfId="0" applyNumberFormat="1" applyFont="1" applyFill="1" applyBorder="1" applyAlignment="1" applyProtection="1">
      <alignment horizontal="center" vertical="center" wrapText="1"/>
      <protection locked="0"/>
    </xf>
    <xf numFmtId="0" fontId="58" fillId="0" borderId="4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30" fillId="13" borderId="53" xfId="0" applyFont="1" applyFill="1" applyBorder="1" applyAlignment="1" applyProtection="1">
      <alignment horizontal="center" vertical="center" wrapText="1"/>
      <protection locked="0"/>
    </xf>
    <xf numFmtId="0" fontId="30" fillId="13" borderId="54" xfId="0" applyFont="1" applyFill="1" applyBorder="1" applyAlignment="1" applyProtection="1">
      <alignment horizontal="center" vertical="center" wrapText="1"/>
      <protection locked="0"/>
    </xf>
    <xf numFmtId="0" fontId="30" fillId="13" borderId="60" xfId="0" applyFont="1" applyFill="1" applyBorder="1" applyAlignment="1" applyProtection="1">
      <alignment horizontal="center" vertical="center" wrapText="1"/>
      <protection locked="0"/>
    </xf>
    <xf numFmtId="0" fontId="30" fillId="13" borderId="56" xfId="0" applyFont="1" applyFill="1" applyBorder="1" applyAlignment="1" applyProtection="1">
      <alignment horizontal="center" vertical="center" wrapText="1"/>
      <protection locked="0"/>
    </xf>
    <xf numFmtId="0" fontId="30" fillId="13" borderId="0" xfId="0" applyFont="1" applyFill="1" applyAlignment="1" applyProtection="1">
      <alignment horizontal="center" vertical="center" wrapText="1"/>
      <protection locked="0"/>
    </xf>
    <xf numFmtId="0" fontId="30" fillId="13" borderId="61" xfId="0" applyFont="1" applyFill="1" applyBorder="1" applyAlignment="1" applyProtection="1">
      <alignment horizontal="center" vertical="center" wrapText="1"/>
      <protection locked="0"/>
    </xf>
    <xf numFmtId="0" fontId="30" fillId="13" borderId="65" xfId="0" applyFont="1" applyFill="1" applyBorder="1" applyAlignment="1" applyProtection="1">
      <alignment horizontal="center" vertical="center" wrapText="1"/>
      <protection locked="0"/>
    </xf>
    <xf numFmtId="0" fontId="30" fillId="13" borderId="10" xfId="0" applyFont="1" applyFill="1" applyBorder="1" applyAlignment="1" applyProtection="1">
      <alignment horizontal="center" vertical="center" wrapText="1"/>
      <protection locked="0"/>
    </xf>
    <xf numFmtId="0" fontId="30" fillId="13" borderId="66" xfId="0" applyFont="1" applyFill="1" applyBorder="1" applyAlignment="1" applyProtection="1">
      <alignment horizontal="center" vertical="center" wrapText="1"/>
      <protection locked="0"/>
    </xf>
    <xf numFmtId="49" fontId="0" fillId="0" borderId="65" xfId="0" applyNumberFormat="1" applyBorder="1" applyAlignment="1" applyProtection="1">
      <alignment horizontal="center" vertical="center" wrapText="1"/>
      <protection locked="0"/>
    </xf>
    <xf numFmtId="49" fontId="0" fillId="0" borderId="10" xfId="0" applyNumberFormat="1" applyBorder="1" applyAlignment="1" applyProtection="1">
      <alignment horizontal="center" vertical="center" wrapText="1"/>
      <protection locked="0"/>
    </xf>
    <xf numFmtId="49" fontId="0" fillId="0" borderId="11" xfId="0" applyNumberFormat="1" applyBorder="1" applyAlignment="1" applyProtection="1">
      <alignment horizontal="center" vertical="center" wrapText="1"/>
      <protection locked="0"/>
    </xf>
    <xf numFmtId="49" fontId="30" fillId="13" borderId="34" xfId="0" applyNumberFormat="1" applyFont="1" applyFill="1" applyBorder="1" applyAlignment="1" applyProtection="1">
      <alignment horizontal="left" wrapText="1"/>
      <protection locked="0"/>
    </xf>
    <xf numFmtId="0" fontId="9" fillId="0" borderId="0" xfId="0" applyFont="1" applyAlignment="1" applyProtection="1">
      <alignment horizontal="center" vertical="center"/>
      <protection hidden="1"/>
    </xf>
    <xf numFmtId="14" fontId="8" fillId="8" borderId="12" xfId="0" applyNumberFormat="1" applyFont="1" applyFill="1" applyBorder="1" applyAlignment="1" applyProtection="1">
      <alignment horizontal="center" vertical="center" wrapText="1"/>
      <protection locked="0"/>
    </xf>
    <xf numFmtId="14" fontId="8" fillId="8" borderId="34" xfId="0" applyNumberFormat="1" applyFont="1" applyFill="1" applyBorder="1" applyAlignment="1" applyProtection="1">
      <alignment horizontal="center" vertical="center" wrapText="1"/>
      <protection locked="0"/>
    </xf>
    <xf numFmtId="14" fontId="8" fillId="8" borderId="36" xfId="0" applyNumberFormat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Alignment="1" applyProtection="1">
      <alignment horizontal="center" vertical="center"/>
      <protection hidden="1"/>
    </xf>
    <xf numFmtId="0" fontId="58" fillId="0" borderId="4" xfId="0" applyFont="1" applyBorder="1" applyAlignment="1" applyProtection="1">
      <alignment horizontal="center"/>
      <protection hidden="1"/>
    </xf>
    <xf numFmtId="0" fontId="63" fillId="0" borderId="0" xfId="0" applyFont="1" applyAlignment="1" applyProtection="1">
      <alignment horizontal="center" vertical="center"/>
      <protection hidden="1"/>
    </xf>
    <xf numFmtId="0" fontId="64" fillId="3" borderId="0" xfId="0" applyFont="1" applyFill="1" applyAlignment="1" applyProtection="1">
      <alignment horizontal="center" wrapText="1"/>
      <protection hidden="1"/>
    </xf>
    <xf numFmtId="0" fontId="31" fillId="3" borderId="0" xfId="2" applyNumberFormat="1" applyFont="1" applyFill="1" applyBorder="1" applyAlignment="1" applyProtection="1">
      <alignment horizontal="center" vertical="center" wrapText="1"/>
      <protection hidden="1"/>
    </xf>
    <xf numFmtId="0" fontId="15" fillId="8" borderId="67" xfId="0" applyFont="1" applyFill="1" applyBorder="1" applyAlignment="1" applyProtection="1">
      <alignment horizontal="center" vertical="center"/>
      <protection locked="0"/>
    </xf>
    <xf numFmtId="0" fontId="15" fillId="8" borderId="68" xfId="0" applyFont="1" applyFill="1" applyBorder="1" applyAlignment="1" applyProtection="1">
      <alignment horizontal="center" vertical="center"/>
      <protection locked="0"/>
    </xf>
    <xf numFmtId="0" fontId="15" fillId="8" borderId="69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top" wrapText="1"/>
      <protection hidden="1"/>
    </xf>
    <xf numFmtId="0" fontId="15" fillId="13" borderId="4" xfId="0" applyFont="1" applyFill="1" applyBorder="1" applyAlignment="1" applyProtection="1">
      <alignment horizontal="center" vertical="center"/>
      <protection hidden="1"/>
    </xf>
    <xf numFmtId="0" fontId="65" fillId="0" borderId="0" xfId="0" applyFont="1" applyAlignment="1" applyProtection="1">
      <alignment horizontal="left" vertical="center" wrapText="1"/>
      <protection hidden="1"/>
    </xf>
    <xf numFmtId="0" fontId="66" fillId="0" borderId="0" xfId="0" applyFont="1" applyAlignment="1" applyProtection="1">
      <alignment horizontal="left" vertical="center" wrapText="1"/>
      <protection hidden="1"/>
    </xf>
    <xf numFmtId="0" fontId="61" fillId="0" borderId="12" xfId="0" applyFont="1" applyBorder="1" applyAlignment="1" applyProtection="1">
      <alignment horizontal="center" vertical="center"/>
      <protection hidden="1"/>
    </xf>
    <xf numFmtId="0" fontId="61" fillId="0" borderId="34" xfId="0" applyFont="1" applyBorder="1" applyAlignment="1" applyProtection="1">
      <alignment horizontal="center" vertical="center"/>
      <protection hidden="1"/>
    </xf>
    <xf numFmtId="0" fontId="61" fillId="0" borderId="36" xfId="0" applyFont="1" applyBorder="1" applyAlignment="1" applyProtection="1">
      <alignment horizontal="center" vertical="center"/>
      <protection hidden="1"/>
    </xf>
    <xf numFmtId="49" fontId="30" fillId="13" borderId="49" xfId="0" applyNumberFormat="1" applyFont="1" applyFill="1" applyBorder="1" applyAlignment="1" applyProtection="1">
      <alignment horizontal="left"/>
      <protection locked="0"/>
    </xf>
    <xf numFmtId="49" fontId="30" fillId="13" borderId="48" xfId="0" applyNumberFormat="1" applyFont="1" applyFill="1" applyBorder="1" applyAlignment="1" applyProtection="1">
      <alignment horizontal="left"/>
      <protection locked="0"/>
    </xf>
    <xf numFmtId="49" fontId="30" fillId="13" borderId="52" xfId="0" applyNumberFormat="1" applyFont="1" applyFill="1" applyBorder="1" applyAlignment="1" applyProtection="1">
      <alignment horizontal="left"/>
      <protection locked="0"/>
    </xf>
    <xf numFmtId="49" fontId="30" fillId="13" borderId="33" xfId="0" applyNumberFormat="1" applyFont="1" applyFill="1" applyBorder="1" applyAlignment="1" applyProtection="1">
      <alignment horizontal="left" wrapText="1"/>
      <protection locked="0"/>
    </xf>
    <xf numFmtId="0" fontId="28" fillId="0" borderId="0" xfId="0" applyFont="1" applyAlignment="1" applyProtection="1">
      <alignment horizontal="left" vertical="top" wrapText="1"/>
      <protection hidden="1"/>
    </xf>
    <xf numFmtId="0" fontId="67" fillId="3" borderId="0" xfId="0" applyFont="1" applyFill="1" applyAlignment="1" applyProtection="1">
      <alignment horizontal="center" wrapText="1"/>
      <protection hidden="1"/>
    </xf>
    <xf numFmtId="165" fontId="30" fillId="13" borderId="34" xfId="0" applyNumberFormat="1" applyFont="1" applyFill="1" applyBorder="1" applyAlignment="1" applyProtection="1">
      <alignment horizontal="left" wrapText="1"/>
      <protection locked="0"/>
    </xf>
    <xf numFmtId="0" fontId="0" fillId="0" borderId="34" xfId="0" applyBorder="1" applyAlignment="1" applyProtection="1">
      <alignment horizontal="left"/>
      <protection locked="0"/>
    </xf>
    <xf numFmtId="0" fontId="28" fillId="0" borderId="0" xfId="0" applyFont="1" applyAlignment="1" applyProtection="1">
      <alignment horizontal="left" vertical="center"/>
      <protection hidden="1"/>
    </xf>
    <xf numFmtId="165" fontId="30" fillId="13" borderId="53" xfId="0" applyNumberFormat="1" applyFont="1" applyFill="1" applyBorder="1" applyAlignment="1" applyProtection="1">
      <alignment horizontal="right" wrapText="1"/>
      <protection locked="0"/>
    </xf>
    <xf numFmtId="165" fontId="30" fillId="13" borderId="54" xfId="0" applyNumberFormat="1" applyFont="1" applyFill="1" applyBorder="1" applyAlignment="1" applyProtection="1">
      <alignment horizontal="right" wrapText="1"/>
      <protection locked="0"/>
    </xf>
    <xf numFmtId="165" fontId="30" fillId="13" borderId="60" xfId="0" applyNumberFormat="1" applyFont="1" applyFill="1" applyBorder="1" applyAlignment="1" applyProtection="1">
      <alignment horizontal="right" wrapText="1"/>
      <protection locked="0"/>
    </xf>
    <xf numFmtId="165" fontId="30" fillId="13" borderId="56" xfId="0" applyNumberFormat="1" applyFont="1" applyFill="1" applyBorder="1" applyAlignment="1" applyProtection="1">
      <alignment horizontal="right" wrapText="1"/>
      <protection locked="0"/>
    </xf>
    <xf numFmtId="165" fontId="30" fillId="13" borderId="0" xfId="0" applyNumberFormat="1" applyFont="1" applyFill="1" applyAlignment="1" applyProtection="1">
      <alignment horizontal="right" wrapText="1"/>
      <protection locked="0"/>
    </xf>
    <xf numFmtId="165" fontId="30" fillId="13" borderId="61" xfId="0" applyNumberFormat="1" applyFont="1" applyFill="1" applyBorder="1" applyAlignment="1" applyProtection="1">
      <alignment horizontal="right" wrapText="1"/>
      <protection locked="0"/>
    </xf>
    <xf numFmtId="165" fontId="30" fillId="13" borderId="65" xfId="0" applyNumberFormat="1" applyFont="1" applyFill="1" applyBorder="1" applyAlignment="1" applyProtection="1">
      <alignment horizontal="right" wrapText="1"/>
      <protection locked="0"/>
    </xf>
    <xf numFmtId="165" fontId="30" fillId="13" borderId="10" xfId="0" applyNumberFormat="1" applyFont="1" applyFill="1" applyBorder="1" applyAlignment="1" applyProtection="1">
      <alignment horizontal="right" wrapText="1"/>
      <protection locked="0"/>
    </xf>
    <xf numFmtId="165" fontId="30" fillId="13" borderId="66" xfId="0" applyNumberFormat="1" applyFont="1" applyFill="1" applyBorder="1" applyAlignment="1" applyProtection="1">
      <alignment horizontal="right" wrapText="1"/>
      <protection locked="0"/>
    </xf>
    <xf numFmtId="0" fontId="28" fillId="0" borderId="0" xfId="0" applyFont="1" applyAlignment="1" applyProtection="1">
      <alignment horizontal="left" vertical="center" wrapText="1"/>
      <protection hidden="1"/>
    </xf>
    <xf numFmtId="0" fontId="34" fillId="0" borderId="0" xfId="0" applyFont="1" applyAlignment="1" applyProtection="1">
      <alignment horizontal="left" vertical="top" wrapText="1"/>
      <protection hidden="1"/>
    </xf>
    <xf numFmtId="0" fontId="57" fillId="0" borderId="0" xfId="0" applyFont="1" applyAlignment="1" applyProtection="1">
      <alignment horizontal="left" wrapText="1"/>
      <protection hidden="1"/>
    </xf>
    <xf numFmtId="0" fontId="22" fillId="3" borderId="0" xfId="0" applyFont="1" applyFill="1" applyAlignment="1" applyProtection="1">
      <alignment horizontal="center" vertical="top" wrapText="1"/>
      <protection hidden="1"/>
    </xf>
    <xf numFmtId="0" fontId="30" fillId="0" borderId="0" xfId="0" applyFont="1" applyAlignment="1" applyProtection="1">
      <alignment horizontal="center"/>
      <protection hidden="1"/>
    </xf>
    <xf numFmtId="0" fontId="30" fillId="0" borderId="33" xfId="0" applyFont="1" applyBorder="1" applyAlignment="1" applyProtection="1">
      <alignment horizontal="center"/>
      <protection hidden="1"/>
    </xf>
    <xf numFmtId="0" fontId="62" fillId="0" borderId="0" xfId="0" applyFont="1" applyAlignment="1" applyProtection="1">
      <alignment horizontal="right"/>
      <protection hidden="1"/>
    </xf>
    <xf numFmtId="0" fontId="62" fillId="0" borderId="0" xfId="0" applyFont="1" applyAlignment="1" applyProtection="1">
      <alignment horizontal="left"/>
      <protection hidden="1"/>
    </xf>
    <xf numFmtId="0" fontId="25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wrapText="1"/>
    </xf>
    <xf numFmtId="0" fontId="18" fillId="0" borderId="18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3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70" fillId="0" borderId="71" xfId="0" applyFont="1" applyBorder="1" applyAlignment="1">
      <alignment horizontal="center"/>
    </xf>
    <xf numFmtId="0" fontId="70" fillId="0" borderId="72" xfId="0" applyFont="1" applyBorder="1" applyAlignment="1">
      <alignment horizontal="center"/>
    </xf>
  </cellXfs>
  <cellStyles count="3">
    <cellStyle name="Followed Hyperlink" xfId="1" builtinId="9" customBuiltin="1"/>
    <cellStyle name="Hyperlink" xfId="2" builtinId="8" customBuiltin="1"/>
    <cellStyle name="Normal" xfId="0" builtinId="0"/>
  </cellStyles>
  <dxfs count="11">
    <dxf>
      <font>
        <color theme="0"/>
      </font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  <dxf>
      <border>
        <top/>
      </border>
    </dxf>
    <dxf>
      <font>
        <color rgb="FFFF0000"/>
      </font>
    </dxf>
    <dxf>
      <border>
        <top/>
      </border>
    </dxf>
    <dxf>
      <font>
        <color rgb="FFFF0000"/>
      </font>
    </dxf>
    <dxf>
      <fill>
        <patternFill>
          <bgColor rgb="FFFFFF00"/>
        </patternFill>
      </fill>
    </dxf>
    <dxf>
      <font>
        <color theme="0"/>
      </font>
      <fill>
        <patternFill patternType="none">
          <bgColor indexed="65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 patternType="none">
          <bgColor indexed="65"/>
        </patternFill>
      </fill>
      <border>
        <left/>
        <right/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ras.gov.sg/irashome/Individuals/Foreigners/Your-Situation/Working-for-Foreign-Employe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CC408-51D0-414D-A81D-B2CC446FF916}">
  <sheetPr codeName="Sheet1"/>
  <dimension ref="B1:BG177"/>
  <sheetViews>
    <sheetView showGridLines="0" tabSelected="1" zoomScale="90" zoomScaleNormal="90" workbookViewId="0">
      <selection activeCell="BK10" sqref="BK10"/>
    </sheetView>
  </sheetViews>
  <sheetFormatPr defaultRowHeight="15" x14ac:dyDescent="0.25"/>
  <cols>
    <col min="1" max="4" width="3.140625" style="143" customWidth="1"/>
    <col min="5" max="5" width="4.140625" style="143" customWidth="1"/>
    <col min="6" max="6" width="3.140625" style="143" customWidth="1"/>
    <col min="7" max="7" width="5.5703125" style="143" customWidth="1"/>
    <col min="8" max="15" width="3.140625" style="143" customWidth="1"/>
    <col min="16" max="16" width="4.5703125" style="143" customWidth="1"/>
    <col min="17" max="19" width="3.140625" style="143" customWidth="1"/>
    <col min="20" max="20" width="4.5703125" style="143" customWidth="1"/>
    <col min="21" max="25" width="3.140625" style="143" customWidth="1"/>
    <col min="26" max="26" width="3.85546875" style="143" customWidth="1"/>
    <col min="27" max="27" width="3.28515625" style="143" customWidth="1"/>
    <col min="28" max="28" width="6.5703125" style="143" customWidth="1"/>
    <col min="29" max="30" width="3.140625" style="143" customWidth="1"/>
    <col min="31" max="31" width="6.5703125" style="143" customWidth="1"/>
    <col min="32" max="36" width="3.140625" style="143" customWidth="1"/>
    <col min="37" max="37" width="4.5703125" style="143" customWidth="1"/>
    <col min="38" max="42" width="3.140625" style="143" customWidth="1"/>
    <col min="43" max="43" width="14.7109375" style="143" hidden="1" customWidth="1"/>
    <col min="44" max="44" width="3.140625" style="143" hidden="1" customWidth="1"/>
    <col min="45" max="45" width="9.140625" style="143" hidden="1" customWidth="1"/>
    <col min="46" max="49" width="12.7109375" style="143" hidden="1" customWidth="1"/>
    <col min="50" max="50" width="11.42578125" style="143" hidden="1" customWidth="1"/>
    <col min="51" max="51" width="9.140625" style="143" hidden="1" customWidth="1"/>
    <col min="52" max="52" width="12.140625" style="143" hidden="1" customWidth="1"/>
    <col min="53" max="54" width="13.7109375" style="143" hidden="1" customWidth="1"/>
    <col min="55" max="55" width="9.28515625" style="143" hidden="1" customWidth="1"/>
    <col min="56" max="56" width="3" style="143" hidden="1" customWidth="1"/>
    <col min="57" max="58" width="13.7109375" style="143" hidden="1" customWidth="1"/>
    <col min="59" max="59" width="9.140625" style="143" hidden="1" customWidth="1"/>
    <col min="60" max="16384" width="9.140625" style="143"/>
  </cols>
  <sheetData>
    <row r="1" spans="2:59" x14ac:dyDescent="0.25">
      <c r="AR1" s="289"/>
      <c r="AS1" s="289"/>
      <c r="AT1" s="289"/>
      <c r="AU1" s="289"/>
      <c r="AV1" s="289"/>
      <c r="AW1" s="289"/>
      <c r="AX1" s="289"/>
      <c r="AY1" s="289"/>
      <c r="AZ1" s="289"/>
      <c r="BA1" s="289"/>
      <c r="BB1" s="289"/>
      <c r="BC1" s="289"/>
      <c r="BD1" s="289"/>
      <c r="BE1" s="289"/>
      <c r="BF1" s="289"/>
      <c r="BG1" s="289"/>
    </row>
    <row r="2" spans="2:59" ht="21" customHeight="1" x14ac:dyDescent="0.25">
      <c r="B2" s="467" t="s">
        <v>0</v>
      </c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  <c r="U2" s="467"/>
      <c r="V2" s="467"/>
      <c r="W2" s="467"/>
      <c r="X2" s="467"/>
      <c r="Y2" s="467"/>
      <c r="Z2" s="467"/>
      <c r="AA2" s="467"/>
      <c r="AB2" s="467"/>
      <c r="AC2" s="467"/>
      <c r="AD2" s="467"/>
      <c r="AE2" s="467"/>
      <c r="AF2" s="467"/>
      <c r="AG2" s="467"/>
      <c r="AH2" s="467"/>
      <c r="AI2" s="467"/>
      <c r="AJ2" s="467"/>
      <c r="AK2" s="467"/>
      <c r="AL2" s="467"/>
      <c r="AM2" s="467"/>
      <c r="AN2" s="467"/>
      <c r="AO2" s="467"/>
    </row>
    <row r="3" spans="2:59" x14ac:dyDescent="0.25">
      <c r="B3" s="468" t="s">
        <v>1</v>
      </c>
      <c r="C3" s="468"/>
      <c r="D3" s="468"/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8"/>
      <c r="Q3" s="468"/>
      <c r="R3" s="468"/>
      <c r="S3" s="468"/>
      <c r="T3" s="468"/>
      <c r="U3" s="468"/>
      <c r="V3" s="468"/>
      <c r="W3" s="468"/>
      <c r="X3" s="468"/>
      <c r="Y3" s="468"/>
      <c r="Z3" s="468"/>
      <c r="AA3" s="468"/>
      <c r="AB3" s="468"/>
      <c r="AC3" s="468"/>
      <c r="AD3" s="468"/>
      <c r="AE3" s="468"/>
      <c r="AF3" s="468"/>
      <c r="AG3" s="468"/>
      <c r="AH3" s="468"/>
      <c r="AI3" s="468"/>
      <c r="AJ3" s="468"/>
      <c r="AK3" s="468"/>
      <c r="AL3" s="468"/>
      <c r="AM3" s="468"/>
      <c r="AN3" s="468"/>
      <c r="AO3" s="468"/>
    </row>
    <row r="4" spans="2:59" ht="29.25" customHeight="1" thickBot="1" x14ac:dyDescent="0.3">
      <c r="B4" s="422" t="s">
        <v>2</v>
      </c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3"/>
      <c r="R4" s="423"/>
      <c r="S4" s="423"/>
      <c r="T4" s="423"/>
      <c r="U4" s="423"/>
      <c r="V4" s="423"/>
      <c r="W4" s="423"/>
      <c r="X4" s="423"/>
      <c r="Y4" s="423"/>
      <c r="Z4" s="423"/>
      <c r="AA4" s="423"/>
      <c r="AB4" s="423"/>
      <c r="AC4" s="423"/>
      <c r="AD4" s="423"/>
      <c r="AE4" s="423"/>
      <c r="AF4" s="423"/>
      <c r="AG4" s="423"/>
      <c r="AH4" s="423"/>
      <c r="AI4" s="423"/>
      <c r="AJ4" s="423"/>
      <c r="AK4" s="423"/>
      <c r="AL4" s="423"/>
      <c r="AM4" s="423"/>
      <c r="AN4" s="423"/>
      <c r="AO4" s="423"/>
    </row>
    <row r="5" spans="2:59" ht="15.75" thickBot="1" x14ac:dyDescent="0.3">
      <c r="B5" s="4"/>
      <c r="C5" s="33" t="s">
        <v>3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144"/>
      <c r="AJ5" s="144"/>
      <c r="AK5" s="144"/>
      <c r="AL5" s="144"/>
      <c r="AM5" s="144"/>
      <c r="AN5" s="144"/>
      <c r="AO5" s="8"/>
    </row>
    <row r="6" spans="2:59" ht="21.6" customHeight="1" x14ac:dyDescent="0.3">
      <c r="B6" s="30"/>
      <c r="C6" s="35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1"/>
      <c r="AK6" s="31"/>
      <c r="AL6" s="31"/>
      <c r="AM6" s="28"/>
      <c r="AN6" s="28"/>
      <c r="AO6" s="29"/>
    </row>
    <row r="7" spans="2:59" ht="36" customHeight="1" x14ac:dyDescent="0.25">
      <c r="B7" s="145"/>
      <c r="C7" s="475" t="str">
        <f>calcNresults!C73</f>
        <v>Please select your country/region of residence under Section 1.</v>
      </c>
      <c r="D7" s="475"/>
      <c r="E7" s="475"/>
      <c r="F7" s="475"/>
      <c r="G7" s="475"/>
      <c r="H7" s="475"/>
      <c r="I7" s="475"/>
      <c r="J7" s="475"/>
      <c r="K7" s="475"/>
      <c r="L7" s="475"/>
      <c r="M7" s="475"/>
      <c r="N7" s="475"/>
      <c r="O7" s="475"/>
      <c r="P7" s="475"/>
      <c r="Q7" s="475"/>
      <c r="R7" s="475"/>
      <c r="S7" s="475"/>
      <c r="T7" s="475"/>
      <c r="U7" s="475"/>
      <c r="V7" s="475"/>
      <c r="W7" s="475"/>
      <c r="X7" s="475"/>
      <c r="Y7" s="475"/>
      <c r="Z7" s="475"/>
      <c r="AA7" s="475"/>
      <c r="AB7" s="475"/>
      <c r="AC7" s="475"/>
      <c r="AD7" s="475"/>
      <c r="AE7" s="475"/>
      <c r="AF7" s="475"/>
      <c r="AG7" s="475"/>
      <c r="AH7" s="475"/>
      <c r="AI7" s="475"/>
      <c r="AJ7" s="475"/>
      <c r="AK7" s="475"/>
      <c r="AL7" s="475"/>
      <c r="AM7" s="475"/>
      <c r="AN7" s="475"/>
      <c r="AO7" s="147"/>
      <c r="AQ7" s="285" t="str">
        <f>HYPERLINK("#'NRE Calculator'!D57","Click here for RESULT")</f>
        <v>Click here for RESULT</v>
      </c>
      <c r="AR7" s="283"/>
      <c r="AS7" s="284" t="str">
        <f>IF(C7=calcNresults!C116,"show",IF(C7=calcNresults!C117,"show",IF(C7=calcNresults!C118,"show","hide")))</f>
        <v>hide</v>
      </c>
      <c r="AT7" s="283" t="s">
        <v>4</v>
      </c>
    </row>
    <row r="8" spans="2:59" ht="15" customHeight="1" thickBot="1" x14ac:dyDescent="0.35">
      <c r="B8" s="148"/>
      <c r="C8" s="149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5"/>
      <c r="AJ8" s="76"/>
      <c r="AK8" s="76"/>
      <c r="AL8" s="76"/>
      <c r="AM8" s="77"/>
      <c r="AN8" s="77"/>
      <c r="AO8" s="150"/>
    </row>
    <row r="9" spans="2:59" ht="15.75" thickBot="1" x14ac:dyDescent="0.3">
      <c r="B9" s="2"/>
      <c r="C9" s="2"/>
      <c r="D9" s="2"/>
      <c r="E9" s="2"/>
      <c r="AI9" s="2"/>
      <c r="AJ9" s="2"/>
      <c r="AK9" s="2"/>
      <c r="AL9" s="2"/>
      <c r="AM9" s="3"/>
      <c r="AN9" s="2"/>
      <c r="AO9" s="2"/>
    </row>
    <row r="10" spans="2:59" ht="15.75" thickBot="1" x14ac:dyDescent="0.3">
      <c r="B10" s="4"/>
      <c r="C10" s="33" t="s">
        <v>5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144"/>
      <c r="AJ10" s="144"/>
      <c r="AK10" s="144"/>
      <c r="AL10" s="144"/>
      <c r="AM10" s="144"/>
      <c r="AN10" s="144"/>
      <c r="AO10" s="8"/>
      <c r="AS10" s="163">
        <f>IF($AE$13="",1,0)</f>
        <v>1</v>
      </c>
    </row>
    <row r="11" spans="2:59" ht="17.25" x14ac:dyDescent="0.3">
      <c r="B11" s="30"/>
      <c r="C11" s="35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1"/>
      <c r="AK11" s="31"/>
      <c r="AL11" s="31"/>
      <c r="AM11" s="28"/>
      <c r="AN11" s="28"/>
      <c r="AO11" s="29"/>
    </row>
    <row r="12" spans="2:59" ht="16.5" thickBot="1" x14ac:dyDescent="0.35">
      <c r="B12" s="145"/>
      <c r="C12" s="146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78"/>
      <c r="AK12" s="78"/>
      <c r="AL12" s="78"/>
      <c r="AM12" s="78"/>
      <c r="AN12" s="78"/>
      <c r="AO12" s="147"/>
    </row>
    <row r="13" spans="2:59" ht="18" thickTop="1" thickBot="1" x14ac:dyDescent="0.3">
      <c r="B13" s="145"/>
      <c r="C13" s="64"/>
      <c r="D13" s="32"/>
      <c r="E13" s="64" t="s">
        <v>6</v>
      </c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469"/>
      <c r="AF13" s="470"/>
      <c r="AG13" s="470"/>
      <c r="AH13" s="470"/>
      <c r="AI13" s="470"/>
      <c r="AJ13" s="470"/>
      <c r="AK13" s="470"/>
      <c r="AL13" s="471"/>
      <c r="AM13" s="69"/>
      <c r="AN13" s="70"/>
      <c r="AO13" s="147"/>
    </row>
    <row r="14" spans="2:59" ht="7.5" customHeight="1" thickTop="1" x14ac:dyDescent="0.25">
      <c r="B14" s="145"/>
      <c r="C14" s="20"/>
      <c r="AO14" s="147"/>
    </row>
    <row r="15" spans="2:59" ht="77.45" customHeight="1" x14ac:dyDescent="0.25">
      <c r="B15" s="145"/>
      <c r="D15" s="474" t="str">
        <f>IF($AE$13="","",calcNresults!$C$76)</f>
        <v/>
      </c>
      <c r="E15" s="474"/>
      <c r="F15" s="474"/>
      <c r="G15" s="474"/>
      <c r="H15" s="474"/>
      <c r="I15" s="474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4"/>
      <c r="AA15" s="474"/>
      <c r="AB15" s="474"/>
      <c r="AC15" s="474"/>
      <c r="AD15" s="474"/>
      <c r="AE15" s="474"/>
      <c r="AF15" s="474"/>
      <c r="AG15" s="474"/>
      <c r="AH15" s="474"/>
      <c r="AI15" s="474"/>
      <c r="AJ15" s="474"/>
      <c r="AK15" s="474"/>
      <c r="AL15" s="474"/>
      <c r="AM15" s="73"/>
      <c r="AN15" s="73"/>
      <c r="AO15" s="147"/>
    </row>
    <row r="16" spans="2:59" ht="22.15" customHeight="1" thickBot="1" x14ac:dyDescent="0.35">
      <c r="B16" s="148"/>
      <c r="C16" s="149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5"/>
      <c r="AJ16" s="76"/>
      <c r="AK16" s="76"/>
      <c r="AL16" s="76"/>
      <c r="AM16" s="77"/>
      <c r="AN16" s="77"/>
      <c r="AO16" s="150"/>
    </row>
    <row r="17" spans="2:50" ht="16.5" thickBot="1" x14ac:dyDescent="0.35">
      <c r="B17" s="151"/>
      <c r="C17" s="15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10"/>
      <c r="AJ17" s="11"/>
      <c r="AK17" s="11"/>
      <c r="AL17" s="11"/>
      <c r="AM17" s="12"/>
      <c r="AN17" s="12"/>
    </row>
    <row r="18" spans="2:50" ht="16.5" customHeight="1" thickBot="1" x14ac:dyDescent="0.3">
      <c r="B18" s="4"/>
      <c r="C18" s="33" t="s">
        <v>7</v>
      </c>
      <c r="D18" s="5"/>
      <c r="E18" s="5"/>
      <c r="F18" s="5"/>
      <c r="G18" s="5" t="str">
        <f>calcNresults!C79</f>
        <v>Please select a country/region under Section 1.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6"/>
      <c r="AJ18" s="6"/>
      <c r="AK18" s="6"/>
      <c r="AL18" s="6"/>
      <c r="AM18" s="7"/>
      <c r="AN18" s="7"/>
      <c r="AO18" s="8"/>
      <c r="AS18" s="163">
        <f>IF($C$7=calcNresults!C114,1,0)</f>
        <v>0</v>
      </c>
    </row>
    <row r="19" spans="2:50" ht="12" customHeight="1" thickBot="1" x14ac:dyDescent="0.35">
      <c r="B19" s="153"/>
      <c r="C19" s="154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1"/>
      <c r="AK19" s="41"/>
      <c r="AL19" s="41"/>
      <c r="AM19" s="41"/>
      <c r="AN19" s="41"/>
      <c r="AO19" s="155"/>
    </row>
    <row r="20" spans="2:50" ht="16.899999999999999" customHeight="1" thickTop="1" thickBot="1" x14ac:dyDescent="0.3">
      <c r="B20" s="156"/>
      <c r="C20" s="157"/>
      <c r="D20" s="175" t="str">
        <f>IF($AE$13="","",calcNresults!C20)</f>
        <v/>
      </c>
      <c r="E20" s="472" t="str">
        <f>IF($AE$13="","",calcNresults!D20)</f>
        <v/>
      </c>
      <c r="F20" s="472"/>
      <c r="G20" s="472"/>
      <c r="H20" s="472"/>
      <c r="I20" s="472"/>
      <c r="J20" s="472"/>
      <c r="K20" s="472"/>
      <c r="L20" s="472"/>
      <c r="M20" s="472"/>
      <c r="N20" s="472"/>
      <c r="O20" s="472"/>
      <c r="P20" s="472"/>
      <c r="Q20" s="472"/>
      <c r="R20" s="472"/>
      <c r="S20" s="472"/>
      <c r="T20" s="472"/>
      <c r="U20" s="472"/>
      <c r="V20" s="472"/>
      <c r="W20" s="472"/>
      <c r="X20" s="472"/>
      <c r="Y20" s="472"/>
      <c r="Z20" s="472"/>
      <c r="AA20" s="472"/>
      <c r="AB20" s="472"/>
      <c r="AC20" s="472"/>
      <c r="AD20" s="472"/>
      <c r="AE20" s="472"/>
      <c r="AF20" s="472"/>
      <c r="AG20" s="472"/>
      <c r="AH20" s="64"/>
      <c r="AI20" s="14"/>
      <c r="AJ20" s="469" t="s">
        <v>8</v>
      </c>
      <c r="AK20" s="470"/>
      <c r="AL20" s="471"/>
      <c r="AM20" s="69"/>
      <c r="AN20" s="70"/>
      <c r="AO20" s="147"/>
      <c r="AX20" s="163" t="e">
        <f>calcNresults!D27</f>
        <v>#N/A</v>
      </c>
    </row>
    <row r="21" spans="2:50" ht="23.45" customHeight="1" thickTop="1" x14ac:dyDescent="0.3">
      <c r="B21" s="145"/>
      <c r="C21" s="152"/>
      <c r="D21" s="65"/>
      <c r="E21" s="472"/>
      <c r="F21" s="472"/>
      <c r="G21" s="472"/>
      <c r="H21" s="472"/>
      <c r="I21" s="472"/>
      <c r="J21" s="472"/>
      <c r="K21" s="472"/>
      <c r="L21" s="472"/>
      <c r="M21" s="472"/>
      <c r="N21" s="472"/>
      <c r="O21" s="472"/>
      <c r="P21" s="472"/>
      <c r="Q21" s="472"/>
      <c r="R21" s="472"/>
      <c r="S21" s="472"/>
      <c r="T21" s="472"/>
      <c r="U21" s="472"/>
      <c r="V21" s="472"/>
      <c r="W21" s="472"/>
      <c r="X21" s="472"/>
      <c r="Y21" s="472"/>
      <c r="Z21" s="472"/>
      <c r="AA21" s="472"/>
      <c r="AB21" s="472"/>
      <c r="AC21" s="472"/>
      <c r="AD21" s="472"/>
      <c r="AE21" s="472"/>
      <c r="AF21" s="472"/>
      <c r="AG21" s="472"/>
      <c r="AH21" s="66"/>
      <c r="AI21" s="10"/>
      <c r="AJ21" s="11"/>
      <c r="AK21" s="11"/>
      <c r="AL21" s="11"/>
      <c r="AM21" s="12"/>
      <c r="AN21" s="12"/>
      <c r="AO21" s="147"/>
    </row>
    <row r="22" spans="2:50" ht="23.45" customHeight="1" thickBot="1" x14ac:dyDescent="0.35">
      <c r="B22" s="145"/>
      <c r="C22" s="152"/>
      <c r="D22" s="67"/>
      <c r="E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10"/>
      <c r="AJ22" s="11"/>
      <c r="AK22" s="11"/>
      <c r="AL22" s="11"/>
      <c r="AM22" s="12"/>
      <c r="AN22" s="12"/>
      <c r="AO22" s="147"/>
    </row>
    <row r="23" spans="2:50" ht="16.899999999999999" customHeight="1" thickTop="1" thickBot="1" x14ac:dyDescent="0.3">
      <c r="B23" s="156"/>
      <c r="C23" s="157"/>
      <c r="D23" s="175" t="str">
        <f>IF($AE$13="","",calcNresults!C21)</f>
        <v/>
      </c>
      <c r="E23" s="472" t="str">
        <f>IF($AE$13="","",calcNresults!D21)</f>
        <v/>
      </c>
      <c r="F23" s="472"/>
      <c r="G23" s="472"/>
      <c r="H23" s="472"/>
      <c r="I23" s="472"/>
      <c r="J23" s="472"/>
      <c r="K23" s="472"/>
      <c r="L23" s="472"/>
      <c r="M23" s="472"/>
      <c r="N23" s="472"/>
      <c r="O23" s="472"/>
      <c r="P23" s="472"/>
      <c r="Q23" s="472"/>
      <c r="R23" s="472"/>
      <c r="S23" s="472"/>
      <c r="T23" s="472"/>
      <c r="U23" s="472"/>
      <c r="V23" s="472"/>
      <c r="W23" s="472"/>
      <c r="X23" s="472"/>
      <c r="Y23" s="472"/>
      <c r="Z23" s="472"/>
      <c r="AA23" s="472"/>
      <c r="AB23" s="472"/>
      <c r="AC23" s="472"/>
      <c r="AD23" s="472"/>
      <c r="AE23" s="472"/>
      <c r="AF23" s="472"/>
      <c r="AG23" s="472"/>
      <c r="AH23" s="64"/>
      <c r="AI23" s="14"/>
      <c r="AJ23" s="469" t="s">
        <v>8</v>
      </c>
      <c r="AK23" s="470"/>
      <c r="AL23" s="471"/>
      <c r="AM23" s="69"/>
      <c r="AN23" s="70"/>
      <c r="AO23" s="147"/>
      <c r="AX23" s="163" t="e">
        <f>calcNresults!D28</f>
        <v>#N/A</v>
      </c>
    </row>
    <row r="24" spans="2:50" ht="22.5" customHeight="1" thickTop="1" x14ac:dyDescent="0.25">
      <c r="B24" s="156"/>
      <c r="C24" s="157"/>
      <c r="D24" s="175"/>
      <c r="E24" s="472"/>
      <c r="F24" s="472"/>
      <c r="G24" s="472"/>
      <c r="H24" s="472"/>
      <c r="I24" s="472"/>
      <c r="J24" s="472"/>
      <c r="K24" s="472"/>
      <c r="L24" s="472"/>
      <c r="M24" s="472"/>
      <c r="N24" s="472"/>
      <c r="O24" s="472"/>
      <c r="P24" s="472"/>
      <c r="Q24" s="472"/>
      <c r="R24" s="472"/>
      <c r="S24" s="472"/>
      <c r="T24" s="472"/>
      <c r="U24" s="472"/>
      <c r="V24" s="472"/>
      <c r="W24" s="472"/>
      <c r="X24" s="472"/>
      <c r="Y24" s="472"/>
      <c r="Z24" s="472"/>
      <c r="AA24" s="472"/>
      <c r="AB24" s="472"/>
      <c r="AC24" s="472"/>
      <c r="AD24" s="472"/>
      <c r="AE24" s="472"/>
      <c r="AF24" s="472"/>
      <c r="AG24" s="472"/>
      <c r="AH24" s="64"/>
      <c r="AI24" s="14"/>
      <c r="AJ24" s="64"/>
      <c r="AK24" s="64"/>
      <c r="AL24" s="14"/>
      <c r="AM24" s="69"/>
      <c r="AN24" s="70"/>
      <c r="AO24" s="147"/>
    </row>
    <row r="25" spans="2:50" ht="22.15" customHeight="1" thickBot="1" x14ac:dyDescent="0.35">
      <c r="B25" s="145"/>
      <c r="C25" s="152"/>
      <c r="D25" s="67"/>
      <c r="E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10"/>
      <c r="AJ25" s="11"/>
      <c r="AK25" s="11"/>
      <c r="AL25" s="11"/>
      <c r="AM25" s="12"/>
      <c r="AN25" s="12"/>
      <c r="AO25" s="147"/>
    </row>
    <row r="26" spans="2:50" ht="18" thickTop="1" thickBot="1" x14ac:dyDescent="0.3">
      <c r="B26" s="156"/>
      <c r="C26" s="157"/>
      <c r="D26" s="175" t="str">
        <f>IF($AE$13="","",calcNresults!C22)</f>
        <v/>
      </c>
      <c r="E26" s="472" t="str">
        <f>IF($AE$13="","",calcNresults!D22)</f>
        <v/>
      </c>
      <c r="F26" s="472"/>
      <c r="G26" s="472"/>
      <c r="H26" s="472"/>
      <c r="I26" s="472"/>
      <c r="J26" s="472"/>
      <c r="K26" s="472"/>
      <c r="L26" s="472"/>
      <c r="M26" s="472"/>
      <c r="N26" s="472"/>
      <c r="O26" s="472"/>
      <c r="P26" s="472"/>
      <c r="Q26" s="472"/>
      <c r="R26" s="472"/>
      <c r="S26" s="472"/>
      <c r="T26" s="472"/>
      <c r="U26" s="472"/>
      <c r="V26" s="472"/>
      <c r="W26" s="472"/>
      <c r="X26" s="472"/>
      <c r="Y26" s="472"/>
      <c r="Z26" s="472"/>
      <c r="AA26" s="472"/>
      <c r="AB26" s="472"/>
      <c r="AC26" s="472"/>
      <c r="AD26" s="472"/>
      <c r="AE26" s="472"/>
      <c r="AF26" s="472"/>
      <c r="AG26" s="472"/>
      <c r="AH26" s="64"/>
      <c r="AI26" s="68"/>
      <c r="AJ26" s="469"/>
      <c r="AK26" s="470"/>
      <c r="AL26" s="471"/>
      <c r="AM26" s="69"/>
      <c r="AN26" s="70"/>
      <c r="AO26" s="46"/>
      <c r="AX26" s="163" t="e">
        <f>calcNresults!D29</f>
        <v>#N/A</v>
      </c>
    </row>
    <row r="27" spans="2:50" ht="22.5" customHeight="1" thickTop="1" x14ac:dyDescent="0.25">
      <c r="B27" s="156"/>
      <c r="C27" s="157"/>
      <c r="D27" s="175"/>
      <c r="E27" s="472"/>
      <c r="F27" s="472"/>
      <c r="G27" s="472"/>
      <c r="H27" s="472"/>
      <c r="I27" s="472"/>
      <c r="J27" s="472"/>
      <c r="K27" s="472"/>
      <c r="L27" s="472"/>
      <c r="M27" s="472"/>
      <c r="N27" s="472"/>
      <c r="O27" s="472"/>
      <c r="P27" s="472"/>
      <c r="Q27" s="472"/>
      <c r="R27" s="472"/>
      <c r="S27" s="472"/>
      <c r="T27" s="472"/>
      <c r="U27" s="472"/>
      <c r="V27" s="472"/>
      <c r="W27" s="472"/>
      <c r="X27" s="472"/>
      <c r="Y27" s="472"/>
      <c r="Z27" s="472"/>
      <c r="AA27" s="472"/>
      <c r="AB27" s="472"/>
      <c r="AC27" s="472"/>
      <c r="AD27" s="472"/>
      <c r="AE27" s="472"/>
      <c r="AF27" s="472"/>
      <c r="AG27" s="472"/>
      <c r="AH27" s="64"/>
      <c r="AI27" s="68"/>
      <c r="AJ27" s="64"/>
      <c r="AK27" s="64"/>
      <c r="AL27" s="14"/>
      <c r="AM27" s="69"/>
      <c r="AN27" s="70"/>
      <c r="AO27" s="46"/>
    </row>
    <row r="28" spans="2:50" ht="24" customHeight="1" thickBot="1" x14ac:dyDescent="0.3">
      <c r="B28" s="148"/>
      <c r="C28" s="158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9"/>
      <c r="Y28" s="159"/>
      <c r="Z28" s="159"/>
      <c r="AA28" s="159"/>
      <c r="AB28" s="159"/>
      <c r="AC28" s="159"/>
      <c r="AD28" s="159"/>
      <c r="AE28" s="159"/>
      <c r="AF28" s="159"/>
      <c r="AG28" s="159"/>
      <c r="AH28" s="159"/>
      <c r="AI28" s="60"/>
      <c r="AJ28" s="71"/>
      <c r="AK28" s="71"/>
      <c r="AL28" s="71"/>
      <c r="AM28" s="72"/>
      <c r="AN28" s="72"/>
      <c r="AO28" s="63"/>
    </row>
    <row r="29" spans="2:50" ht="15.75" thickBot="1" x14ac:dyDescent="0.3">
      <c r="B29" s="151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13"/>
      <c r="AJ29" s="14"/>
      <c r="AK29" s="14"/>
      <c r="AL29" s="14"/>
      <c r="AM29" s="15"/>
      <c r="AN29" s="15"/>
      <c r="AO29" s="16"/>
    </row>
    <row r="30" spans="2:50" ht="15.75" thickBot="1" x14ac:dyDescent="0.3">
      <c r="B30" s="4"/>
      <c r="C30" s="33" t="s">
        <v>10</v>
      </c>
      <c r="D30" s="5"/>
      <c r="E30" s="5"/>
      <c r="F30" s="5"/>
      <c r="G30" s="5" t="str">
        <f>calcNresults!C82</f>
        <v>Please select a country/region under Section 1.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6"/>
      <c r="AJ30" s="6"/>
      <c r="AK30" s="6"/>
      <c r="AL30" s="6"/>
      <c r="AM30" s="7"/>
      <c r="AN30" s="7"/>
      <c r="AO30" s="8"/>
      <c r="AS30" s="163">
        <f>IF($C$7=calcNresults!C115,1,0)</f>
        <v>0</v>
      </c>
      <c r="AT30" s="143" t="str">
        <f>calcNresults!C120</f>
        <v>Please refer to results below.</v>
      </c>
    </row>
    <row r="31" spans="2:50" ht="15.75" x14ac:dyDescent="0.3">
      <c r="B31" s="153"/>
      <c r="C31" s="154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1"/>
      <c r="AK31" s="41"/>
      <c r="AL31" s="41"/>
      <c r="AM31" s="41"/>
      <c r="AN31" s="41"/>
      <c r="AO31" s="155"/>
    </row>
    <row r="32" spans="2:50" ht="17.25" x14ac:dyDescent="0.25">
      <c r="B32" s="160"/>
      <c r="C32" s="43"/>
      <c r="D32" s="42"/>
      <c r="E32" s="43"/>
      <c r="F32" s="64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50"/>
      <c r="AJ32" s="50"/>
      <c r="AK32" s="14"/>
      <c r="AL32" s="50"/>
      <c r="AM32" s="45"/>
      <c r="AN32" s="45"/>
      <c r="AO32" s="46"/>
    </row>
    <row r="33" spans="2:52" ht="15.75" x14ac:dyDescent="0.25">
      <c r="B33" s="160"/>
      <c r="C33" s="161"/>
      <c r="D33" s="47"/>
      <c r="E33" s="47"/>
      <c r="F33" s="64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19"/>
      <c r="AM33" s="48"/>
      <c r="AN33" s="15"/>
      <c r="AO33" s="46"/>
    </row>
    <row r="34" spans="2:52" ht="17.25" x14ac:dyDescent="0.25">
      <c r="B34" s="160"/>
      <c r="C34" s="161"/>
      <c r="D34" s="36"/>
      <c r="E34" s="299" t="str">
        <f>calcNresults!C84</f>
        <v xml:space="preserve">Please enter your current and prior visit(s), if any:- </v>
      </c>
      <c r="F34" s="64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50"/>
      <c r="AJ34" s="50"/>
      <c r="AK34" s="14"/>
      <c r="AL34" s="50"/>
      <c r="AM34" s="50"/>
      <c r="AN34" s="15"/>
      <c r="AO34" s="46"/>
      <c r="AS34" s="163" t="str">
        <f>IF(OR(days!E3="moving",G30=AT30),"Hide","Show")</f>
        <v>Show</v>
      </c>
    </row>
    <row r="35" spans="2:52" ht="22.9" customHeight="1" x14ac:dyDescent="0.25">
      <c r="B35" s="160"/>
      <c r="C35" s="161"/>
      <c r="D35" s="49"/>
      <c r="E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50"/>
      <c r="AJ35" s="50"/>
      <c r="AK35" s="14"/>
      <c r="AL35" s="50"/>
      <c r="AM35" s="50"/>
      <c r="AN35" s="15"/>
      <c r="AO35" s="46"/>
    </row>
    <row r="36" spans="2:52" ht="21" customHeight="1" x14ac:dyDescent="0.25">
      <c r="B36" s="160"/>
      <c r="C36" s="161"/>
      <c r="D36" s="51"/>
      <c r="E36" s="52"/>
      <c r="F36" s="460" t="s">
        <v>11</v>
      </c>
      <c r="G36" s="460"/>
      <c r="H36" s="464">
        <f ca="1">IF($G$30=calcNresults!$C$120,$AX$36,IF(days!E3="limited treaty","",$AX$37))</f>
        <v>45658</v>
      </c>
      <c r="I36" s="464"/>
      <c r="J36" s="464"/>
      <c r="K36" s="464"/>
      <c r="L36" s="464"/>
      <c r="M36" s="300" t="s">
        <v>12</v>
      </c>
      <c r="N36" s="464" t="str">
        <f>IF(days!E3="calendar",days!G8,IF(days!E3="moving",days!H8,""))</f>
        <v/>
      </c>
      <c r="O36" s="464"/>
      <c r="P36" s="464"/>
      <c r="Q36" s="464"/>
      <c r="R36" s="464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0"/>
      <c r="AJ36" s="50"/>
      <c r="AK36" s="14"/>
      <c r="AL36" s="50"/>
      <c r="AM36" s="50"/>
      <c r="AN36" s="15"/>
      <c r="AO36" s="46"/>
      <c r="AS36" s="273" t="s">
        <v>13</v>
      </c>
      <c r="AT36" s="227"/>
      <c r="AU36" s="227"/>
      <c r="AV36" s="227"/>
      <c r="AW36" s="227" t="s">
        <v>11</v>
      </c>
      <c r="AX36" s="271">
        <f ca="1">DATE(YEAR(TODAY())+20,1,1)</f>
        <v>53328</v>
      </c>
      <c r="AY36" s="227" t="s">
        <v>12</v>
      </c>
      <c r="AZ36" s="272">
        <f ca="1">DATE(YEAR(TODAY())-20,1,1)</f>
        <v>38718</v>
      </c>
    </row>
    <row r="37" spans="2:52" ht="18" customHeight="1" x14ac:dyDescent="0.25">
      <c r="B37" s="160"/>
      <c r="C37" s="161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0"/>
      <c r="AJ37" s="50"/>
      <c r="AK37" s="14"/>
      <c r="AL37" s="50"/>
      <c r="AM37" s="50"/>
      <c r="AN37" s="15"/>
      <c r="AO37" s="46"/>
      <c r="AS37" s="245" t="s">
        <v>14</v>
      </c>
      <c r="AT37" s="227"/>
      <c r="AU37" s="227"/>
      <c r="AV37" s="227"/>
      <c r="AW37" s="227" t="s">
        <v>11</v>
      </c>
      <c r="AX37" s="271">
        <f ca="1">IF($AE$13="",days!F7,IF(days!E3="limited treaty","",IF(AND(calcNresults!N6&lt;&gt;"",days!E3="calendar"),DATE(calcNresults!N6,1,1),days!F7)))</f>
        <v>45658</v>
      </c>
      <c r="AY37" s="227" t="s">
        <v>12</v>
      </c>
      <c r="AZ37" s="272" t="str">
        <f>IF(days!E3="calendar",days!G8,IF(days!E3="moving",days!H8,""))</f>
        <v/>
      </c>
    </row>
    <row r="38" spans="2:52" ht="17.25" x14ac:dyDescent="0.3">
      <c r="B38" s="145"/>
      <c r="D38" s="20"/>
      <c r="E38" s="20"/>
      <c r="F38" s="465"/>
      <c r="G38" s="465"/>
      <c r="H38" s="465"/>
      <c r="I38" s="465"/>
      <c r="J38" s="465"/>
      <c r="K38" s="465"/>
      <c r="L38" s="465"/>
      <c r="M38" s="473" t="s">
        <v>15</v>
      </c>
      <c r="N38" s="473"/>
      <c r="O38" s="473"/>
      <c r="P38" s="473"/>
      <c r="Q38" s="473"/>
      <c r="R38" s="473" t="s">
        <v>16</v>
      </c>
      <c r="S38" s="473"/>
      <c r="T38" s="473"/>
      <c r="U38" s="473"/>
      <c r="V38" s="473"/>
      <c r="W38" s="476" t="str">
        <f>IF(days!E3="moving","No. of days in Singapore in the relevant period","No. of days in Singapore")</f>
        <v>No. of days in Singapore</v>
      </c>
      <c r="X38" s="477"/>
      <c r="Y38" s="477"/>
      <c r="Z38" s="477"/>
      <c r="AA38" s="477"/>
      <c r="AB38" s="477"/>
      <c r="AC38" s="477"/>
      <c r="AD38" s="477"/>
      <c r="AE38" s="477"/>
      <c r="AF38" s="477"/>
      <c r="AG38" s="477"/>
      <c r="AH38" s="477"/>
      <c r="AI38" s="477"/>
      <c r="AJ38" s="477"/>
      <c r="AK38" s="477"/>
      <c r="AL38" s="478"/>
      <c r="AM38" s="50"/>
      <c r="AN38" s="15"/>
      <c r="AO38" s="46"/>
      <c r="AS38" s="143" t="s">
        <v>17</v>
      </c>
      <c r="AX38" s="292" t="str">
        <f>IF(M39="","",DATE(YEAR(M39)+1,MONTH(M39),DAY(M39)-1))</f>
        <v/>
      </c>
      <c r="AY38" s="202" t="s">
        <v>18</v>
      </c>
      <c r="AZ38" s="143" t="s">
        <v>19</v>
      </c>
    </row>
    <row r="39" spans="2:52" ht="31.5" customHeight="1" x14ac:dyDescent="0.25">
      <c r="B39" s="162"/>
      <c r="C39" s="157"/>
      <c r="D39" s="47"/>
      <c r="E39" s="47"/>
      <c r="F39" s="445" t="s">
        <v>20</v>
      </c>
      <c r="G39" s="445"/>
      <c r="H39" s="445"/>
      <c r="I39" s="445"/>
      <c r="J39" s="445"/>
      <c r="K39" s="445"/>
      <c r="L39" s="445"/>
      <c r="M39" s="461"/>
      <c r="N39" s="462"/>
      <c r="O39" s="462"/>
      <c r="P39" s="462"/>
      <c r="Q39" s="463"/>
      <c r="R39" s="461"/>
      <c r="S39" s="462"/>
      <c r="T39" s="462"/>
      <c r="U39" s="462"/>
      <c r="V39" s="463"/>
      <c r="W39" s="443" t="str">
        <f>IF(AY39="highlight period",AZ39,IF(OR(M39="",R39="",$AY$51&gt;0),"",IF(days!$E$3="calendar",days!N13,IF(AND(M40&lt;&gt;"",R40&lt;&gt;""),"",days!N32))))</f>
        <v/>
      </c>
      <c r="X39" s="443"/>
      <c r="Y39" s="443"/>
      <c r="Z39" s="443"/>
      <c r="AA39" s="443"/>
      <c r="AB39" s="443"/>
      <c r="AC39" s="443"/>
      <c r="AD39" s="443"/>
      <c r="AE39" s="443"/>
      <c r="AF39" s="443"/>
      <c r="AG39" s="443"/>
      <c r="AH39" s="443"/>
      <c r="AI39" s="443"/>
      <c r="AJ39" s="443"/>
      <c r="AK39" s="443"/>
      <c r="AL39" s="443"/>
      <c r="AM39" s="50"/>
      <c r="AN39" s="15"/>
      <c r="AO39" s="46"/>
      <c r="AS39" s="163" t="str">
        <f>IF(AND(M39="",R39=""),"",IF(OR(M39&lt;$AX$37,M39&gt;$AZ$37,R39&gt;$AZ$37,R39&lt;M39,SUM(AT39:AX39)&gt;0),"error",""))</f>
        <v/>
      </c>
      <c r="AT39" s="163">
        <f>COUNTIF($AS$38:AS38,"error")</f>
        <v>0</v>
      </c>
      <c r="AU39" s="163">
        <f>IF(AND(R39&lt;&gt;"",M39=""),1,0)</f>
        <v>0</v>
      </c>
      <c r="AV39" s="163">
        <f>IF(OR(R39="",M39=""),0,IF(R39-M39&gt;=0,0,1))</f>
        <v>0</v>
      </c>
      <c r="AW39" s="163">
        <f>IF(OR(M40="",R39=""),0,IF(M40-R39&gt;=0,0,1))</f>
        <v>0</v>
      </c>
      <c r="AX39" s="291">
        <f>IF(AND(OR(AE13="France",AE13="Thailand"),YEAR(M39)=2016),0,IF(days!$E$3="moving",IF(R39&gt;$AX$38,1,0),0))</f>
        <v>0</v>
      </c>
      <c r="AY39" s="202" t="str">
        <f t="shared" ref="AY39:AY50" si="0">IF(AZ39&lt;&gt;"","highlight period","ok")</f>
        <v>ok</v>
      </c>
      <c r="AZ39" s="143" t="str">
        <f>IF((AND(COUNTBLANK(M39)+COUNTBLANK(R39)=2,COUNTA(M40:$M$50)+COUNTA(R40:$R$50)&gt;0))=TRUE,"Do not skip any row",IF(AZ38="Do not skip any row","",IF(COUNTBLANK(M39)+COUNTBLANK(R39)=2,"",IF(COUNTBLANK(M39)=1,"Please enter date of arrival in Singapore",IF(COUNTBLANK(R39)=1,"Please enter date of departure from Singapore",IF(R39&lt;M39,"Date of departure from Singapore is earlier than date of arrival in Singapore",IF(AW39&gt;0,"Please check that no overlapping periods exist.",IF(AX39&gt;0,"Your physical presence in Singapore exceeded 183 days in a 12-month period.",""))))))))</f>
        <v/>
      </c>
    </row>
    <row r="40" spans="2:52" ht="31.5" customHeight="1" x14ac:dyDescent="0.25">
      <c r="B40" s="164"/>
      <c r="C40" s="157"/>
      <c r="D40" s="36"/>
      <c r="E40" s="49"/>
      <c r="F40" s="445" t="s">
        <v>21</v>
      </c>
      <c r="G40" s="445"/>
      <c r="H40" s="445"/>
      <c r="I40" s="445"/>
      <c r="J40" s="445"/>
      <c r="K40" s="445"/>
      <c r="L40" s="445"/>
      <c r="M40" s="461"/>
      <c r="N40" s="462"/>
      <c r="O40" s="462"/>
      <c r="P40" s="462"/>
      <c r="Q40" s="463"/>
      <c r="R40" s="444"/>
      <c r="S40" s="444"/>
      <c r="T40" s="444"/>
      <c r="U40" s="444"/>
      <c r="V40" s="444"/>
      <c r="W40" s="443" t="str">
        <f>IF(AY40="highlight period",AZ40,IF(OR(M40="",R40="",$AY$51&gt;0),"",IF(days!$E$3="calendar",days!N14,IF(AND(M41&lt;&gt;"",R41&lt;&gt;""),"",days!N33))))</f>
        <v/>
      </c>
      <c r="X40" s="443"/>
      <c r="Y40" s="443"/>
      <c r="Z40" s="443"/>
      <c r="AA40" s="443"/>
      <c r="AB40" s="443"/>
      <c r="AC40" s="443"/>
      <c r="AD40" s="443"/>
      <c r="AE40" s="443"/>
      <c r="AF40" s="443"/>
      <c r="AG40" s="443"/>
      <c r="AH40" s="443"/>
      <c r="AI40" s="443"/>
      <c r="AJ40" s="443"/>
      <c r="AK40" s="443"/>
      <c r="AL40" s="443"/>
      <c r="AM40" s="50"/>
      <c r="AN40" s="15"/>
      <c r="AO40" s="54"/>
      <c r="AS40" s="163" t="str">
        <f t="shared" ref="AS40:AS50" si="1">IF(AND(M40="",R40=""),"",IF(OR(M40&lt;$AX$37,M40&gt;$AZ$37,R40&gt;$AZ$37,R40&lt;M40,SUM(AT40:AX40)&gt;0),"error",""))</f>
        <v/>
      </c>
      <c r="AT40" s="163">
        <f>COUNTIF($AS$38:AS39,"error")</f>
        <v>0</v>
      </c>
      <c r="AU40" s="163">
        <f t="shared" ref="AU40:AU48" si="2">IF(AND(R40&lt;&gt;"",M40=""),1,0)</f>
        <v>0</v>
      </c>
      <c r="AV40" s="163">
        <f t="shared" ref="AV40:AV48" si="3">IF(OR(R40="",M40=""),0,IF(R40-M40&gt;=0,0,1))</f>
        <v>0</v>
      </c>
      <c r="AW40" s="163">
        <f t="shared" ref="AW40:AW49" si="4">IF(OR(M41="",R40=""),0,IF(M41-R40&gt;0,0,1))</f>
        <v>0</v>
      </c>
      <c r="AX40" s="291">
        <f>IF(days!$E$3="moving",IF(R40&gt;$AX$38,1,0),0)</f>
        <v>0</v>
      </c>
      <c r="AY40" s="202" t="str">
        <f t="shared" si="0"/>
        <v>ok</v>
      </c>
      <c r="AZ40" s="143" t="str">
        <f>IF((AND(COUNTBLANK(M40)+COUNTBLANK(R40)=2,COUNTA(M41:$M$50)+COUNTA(R41:$R$50)&gt;0))=TRUE,"Do not skip any row",IF(AZ39="Do not skip any row","",IF(COUNTBLANK(M40)+COUNTBLANK(R40)=2,"",IF(COUNTBLANK(M40)=1,"Please enter date of arrival in Singapore",IF(COUNTBLANK(R40)=1,"Please enter date of departure from Singapore",IF(R40&lt;M40,"Date of departure from Singapore is earlier than date of arrival in Singapore",IF(AW40&gt;0,"Please check that no overlapping periods exist.",IF(AX40&gt;0,"Your stay exceeds a 12-month period. Please email us as per instructions under Section 1.", ""))))))))</f>
        <v/>
      </c>
    </row>
    <row r="41" spans="2:52" ht="31.5" customHeight="1" x14ac:dyDescent="0.25">
      <c r="B41" s="164"/>
      <c r="C41" s="157"/>
      <c r="D41" s="49"/>
      <c r="E41" s="49"/>
      <c r="F41" s="445" t="s">
        <v>22</v>
      </c>
      <c r="G41" s="445"/>
      <c r="H41" s="445"/>
      <c r="I41" s="445"/>
      <c r="J41" s="445"/>
      <c r="K41" s="445"/>
      <c r="L41" s="445"/>
      <c r="M41" s="461"/>
      <c r="N41" s="462"/>
      <c r="O41" s="462"/>
      <c r="P41" s="462"/>
      <c r="Q41" s="463"/>
      <c r="R41" s="444"/>
      <c r="S41" s="444"/>
      <c r="T41" s="444"/>
      <c r="U41" s="444"/>
      <c r="V41" s="444"/>
      <c r="W41" s="443" t="str">
        <f>IF(AY41="highlight period",AZ41,IF(OR(M41="",R41="",$AY$51&gt;0),"",IF(days!$E$3="calendar",days!N15,IF(AND(M42&lt;&gt;"",R42&lt;&gt;""),"",days!N34))))</f>
        <v/>
      </c>
      <c r="X41" s="443"/>
      <c r="Y41" s="443"/>
      <c r="Z41" s="443"/>
      <c r="AA41" s="443"/>
      <c r="AB41" s="443"/>
      <c r="AC41" s="443"/>
      <c r="AD41" s="443"/>
      <c r="AE41" s="443"/>
      <c r="AF41" s="443"/>
      <c r="AG41" s="443"/>
      <c r="AH41" s="443"/>
      <c r="AI41" s="443"/>
      <c r="AJ41" s="443"/>
      <c r="AK41" s="443"/>
      <c r="AL41" s="443"/>
      <c r="AM41" s="50"/>
      <c r="AN41" s="15"/>
      <c r="AO41" s="54"/>
      <c r="AS41" s="163" t="str">
        <f t="shared" si="1"/>
        <v/>
      </c>
      <c r="AT41" s="163">
        <f>COUNTIF($AS$38:AS40,"error")</f>
        <v>0</v>
      </c>
      <c r="AU41" s="163">
        <f t="shared" si="2"/>
        <v>0</v>
      </c>
      <c r="AV41" s="163">
        <f t="shared" si="3"/>
        <v>0</v>
      </c>
      <c r="AW41" s="163">
        <f t="shared" si="4"/>
        <v>0</v>
      </c>
      <c r="AX41" s="291">
        <f>IF(days!$E$3="moving",IF(R41&gt;$AX$38,1,0),0)</f>
        <v>0</v>
      </c>
      <c r="AY41" s="202" t="str">
        <f t="shared" si="0"/>
        <v>ok</v>
      </c>
      <c r="AZ41" s="143" t="str">
        <f>IF((AND(COUNTBLANK(M41)+COUNTBLANK(R41)=2,COUNTA(M42:$M$50)+COUNTA(R42:$R$50)&gt;0))=TRUE,"Do not skip any row",IF(AZ40="Do not skip any row","",IF(COUNTBLANK(M41)+COUNTBLANK(R41)=2,"",IF(COUNTBLANK(M41)=1,"Please enter date of arrival in Singapore",IF(COUNTBLANK(R41)=1,"Please enter date of departure from Singapore",IF(R41&lt;M41,"Date of departure from Singapore is earlier than date of arrival in Singapore",IF(AW41&gt;0,"Please check that no overlapping periods exist.",IF(AX41&gt;0,"Your stay exceeds a 12-month period. Please email us as per instructions under Section 1.", ""))))))))</f>
        <v/>
      </c>
    </row>
    <row r="42" spans="2:52" ht="31.5" customHeight="1" x14ac:dyDescent="0.25">
      <c r="B42" s="164"/>
      <c r="C42" s="157"/>
      <c r="D42" s="51"/>
      <c r="E42" s="52"/>
      <c r="F42" s="445" t="s">
        <v>23</v>
      </c>
      <c r="G42" s="445"/>
      <c r="H42" s="445"/>
      <c r="I42" s="445"/>
      <c r="J42" s="445"/>
      <c r="K42" s="445"/>
      <c r="L42" s="445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3" t="str">
        <f>IF(AY42="highlight period",AZ42,IF(OR(M42="",R42="",$AY$51&gt;0),"",IF(days!$E$3="calendar",days!N16,IF(AND(M43&lt;&gt;"",R43&lt;&gt;""),"",days!N35))))</f>
        <v/>
      </c>
      <c r="X42" s="443"/>
      <c r="Y42" s="443"/>
      <c r="Z42" s="443"/>
      <c r="AA42" s="443"/>
      <c r="AB42" s="443"/>
      <c r="AC42" s="443"/>
      <c r="AD42" s="443"/>
      <c r="AE42" s="443"/>
      <c r="AF42" s="443"/>
      <c r="AG42" s="443"/>
      <c r="AH42" s="443"/>
      <c r="AI42" s="443"/>
      <c r="AJ42" s="443"/>
      <c r="AK42" s="443"/>
      <c r="AL42" s="443"/>
      <c r="AM42" s="50"/>
      <c r="AN42" s="15"/>
      <c r="AO42" s="54"/>
      <c r="AS42" s="163" t="str">
        <f t="shared" si="1"/>
        <v/>
      </c>
      <c r="AT42" s="163">
        <f>COUNTIF($AS$38:AS41,"error")</f>
        <v>0</v>
      </c>
      <c r="AU42" s="163">
        <f t="shared" si="2"/>
        <v>0</v>
      </c>
      <c r="AV42" s="163">
        <f t="shared" si="3"/>
        <v>0</v>
      </c>
      <c r="AW42" s="163">
        <f t="shared" si="4"/>
        <v>0</v>
      </c>
      <c r="AX42" s="291">
        <f>IF(days!$E$3="moving",IF(R42&gt;$AX$38,1,0),0)</f>
        <v>0</v>
      </c>
      <c r="AY42" s="202" t="str">
        <f t="shared" si="0"/>
        <v>ok</v>
      </c>
      <c r="AZ42" s="143" t="str">
        <f>IF((AND(COUNTBLANK(M42)+COUNTBLANK(R42)=2,COUNTA(M43:$M$50)+COUNTA(R43:$R$50)&gt;0))=TRUE,"Do not skip any row",IF(AZ41="Do not skip any row","",IF(COUNTBLANK(M42)+COUNTBLANK(R42)=2,"",IF(COUNTBLANK(M42)=1,"Please enter date of arrival in Singapore",IF(COUNTBLANK(R42)=1,"Please enter date of departure from Singapore",IF(R42&lt;M42,"Date of departure from Singapore is earlier than date of arrival in Singapore",IF(AW42&gt;0,"Please check that no overlapping periods exist.",IF(AX42&gt;0,"Your stay exceeds a 12-month period. Please email us as per instructions under Section 1.", ""))))))))</f>
        <v/>
      </c>
    </row>
    <row r="43" spans="2:52" ht="31.5" customHeight="1" x14ac:dyDescent="0.25">
      <c r="B43" s="164"/>
      <c r="C43" s="157"/>
      <c r="D43" s="47"/>
      <c r="E43" s="47"/>
      <c r="F43" s="445" t="s">
        <v>24</v>
      </c>
      <c r="G43" s="445"/>
      <c r="H43" s="445"/>
      <c r="I43" s="445"/>
      <c r="J43" s="445"/>
      <c r="K43" s="445"/>
      <c r="L43" s="445"/>
      <c r="M43" s="444"/>
      <c r="N43" s="444"/>
      <c r="O43" s="444"/>
      <c r="P43" s="444"/>
      <c r="Q43" s="444"/>
      <c r="R43" s="444"/>
      <c r="S43" s="444"/>
      <c r="T43" s="444"/>
      <c r="U43" s="444"/>
      <c r="V43" s="444"/>
      <c r="W43" s="443" t="str">
        <f>IF(AY43="highlight period",AZ43,IF(OR(M43="",R43="",$AY$51&gt;0),"",IF(days!$E$3="calendar",days!N17,IF(AND(M44&lt;&gt;"",R44&lt;&gt;""),"",days!N36))))</f>
        <v/>
      </c>
      <c r="X43" s="443"/>
      <c r="Y43" s="443"/>
      <c r="Z43" s="443"/>
      <c r="AA43" s="443"/>
      <c r="AB43" s="443"/>
      <c r="AC43" s="443"/>
      <c r="AD43" s="443"/>
      <c r="AE43" s="443"/>
      <c r="AF43" s="443"/>
      <c r="AG43" s="443"/>
      <c r="AH43" s="443"/>
      <c r="AI43" s="443"/>
      <c r="AJ43" s="443"/>
      <c r="AK43" s="443"/>
      <c r="AL43" s="443"/>
      <c r="AM43" s="50"/>
      <c r="AN43" s="15"/>
      <c r="AO43" s="54"/>
      <c r="AS43" s="163" t="str">
        <f t="shared" si="1"/>
        <v/>
      </c>
      <c r="AT43" s="163">
        <f>COUNTIF($AS$38:AS42,"error")</f>
        <v>0</v>
      </c>
      <c r="AU43" s="163">
        <f t="shared" si="2"/>
        <v>0</v>
      </c>
      <c r="AV43" s="163">
        <f t="shared" si="3"/>
        <v>0</v>
      </c>
      <c r="AW43" s="163">
        <f t="shared" si="4"/>
        <v>0</v>
      </c>
      <c r="AX43" s="291">
        <f>IF(days!$E$3="moving",IF(R43&gt;$AX$38,1,0),0)</f>
        <v>0</v>
      </c>
      <c r="AY43" s="202" t="str">
        <f t="shared" si="0"/>
        <v>ok</v>
      </c>
      <c r="AZ43" s="143" t="str">
        <f>IF((AND(COUNTBLANK(M43)+COUNTBLANK(R43)=2,COUNTA(M44:$M$50)+COUNTA(R44:$R$50)&gt;0))=TRUE,"Do not skip any row",IF(AZ42="Do not skip any row","",IF(COUNTBLANK(M43)+COUNTBLANK(R43)=2,"",IF(COUNTBLANK(M43)=1,"Please enter date of arrival in Singapore",IF(COUNTBLANK(R43)=1,"Please enter date of departure from Singapore",IF(R43&lt;M43,"Date of departure from Singapore is earlier than date of arrival in Singapore",IF(AW43&gt;0,"Please check that no overlapping periods exist.",IF(AX43&gt;0,"Your stay exceeds a 12-month period. Please email us as per instructions under Section 1.", ""))))))))</f>
        <v/>
      </c>
    </row>
    <row r="44" spans="2:52" ht="31.5" customHeight="1" x14ac:dyDescent="0.25">
      <c r="B44" s="164"/>
      <c r="C44" s="157"/>
      <c r="D44" s="36"/>
      <c r="E44" s="49"/>
      <c r="F44" s="445" t="s">
        <v>25</v>
      </c>
      <c r="G44" s="445"/>
      <c r="H44" s="445"/>
      <c r="I44" s="445"/>
      <c r="J44" s="445"/>
      <c r="K44" s="445"/>
      <c r="L44" s="445"/>
      <c r="M44" s="444"/>
      <c r="N44" s="444"/>
      <c r="O44" s="444"/>
      <c r="P44" s="444"/>
      <c r="Q44" s="444"/>
      <c r="R44" s="444"/>
      <c r="S44" s="444"/>
      <c r="T44" s="444"/>
      <c r="U44" s="444"/>
      <c r="V44" s="444"/>
      <c r="W44" s="443" t="str">
        <f>IF(AY44="highlight period",AZ44,IF(OR(M44="",R44="",$AY$51&gt;0),"",IF(days!$E$3="calendar",days!N18,IF(AND(M45&lt;&gt;"",R45&lt;&gt;""),"",days!N37))))</f>
        <v/>
      </c>
      <c r="X44" s="443"/>
      <c r="Y44" s="443"/>
      <c r="Z44" s="443"/>
      <c r="AA44" s="443"/>
      <c r="AB44" s="443"/>
      <c r="AC44" s="443"/>
      <c r="AD44" s="443"/>
      <c r="AE44" s="443"/>
      <c r="AF44" s="443"/>
      <c r="AG44" s="443"/>
      <c r="AH44" s="443"/>
      <c r="AI44" s="443"/>
      <c r="AJ44" s="443"/>
      <c r="AK44" s="443"/>
      <c r="AL44" s="443"/>
      <c r="AM44" s="50"/>
      <c r="AN44" s="15"/>
      <c r="AO44" s="54"/>
      <c r="AS44" s="163" t="str">
        <f t="shared" si="1"/>
        <v/>
      </c>
      <c r="AT44" s="163">
        <f>COUNTIF($AS$38:AS43,"error")</f>
        <v>0</v>
      </c>
      <c r="AU44" s="163">
        <f t="shared" si="2"/>
        <v>0</v>
      </c>
      <c r="AV44" s="163">
        <f t="shared" si="3"/>
        <v>0</v>
      </c>
      <c r="AW44" s="163">
        <f t="shared" si="4"/>
        <v>0</v>
      </c>
      <c r="AX44" s="291">
        <f>IF(days!$E$3="moving",IF(R44&gt;$AX$38,1,0),0)</f>
        <v>0</v>
      </c>
      <c r="AY44" s="202" t="str">
        <f t="shared" si="0"/>
        <v>ok</v>
      </c>
      <c r="AZ44" s="143" t="str">
        <f>IF((AND(COUNTBLANK(M44)+COUNTBLANK(R44)=2,COUNTA(M45:$M$50)+COUNTA(R45:$R$50)&gt;0))=TRUE,"Do not skip any row",IF(AZ43="Do not skip any row","",IF(COUNTBLANK(M44)+COUNTBLANK(R44)=2,"",IF(COUNTBLANK(M44)=1,"Please enter date of arrival in Singapore",IF(COUNTBLANK(R44)=1,"Please enter date of departure from Singapore",IF(R44&lt;M44,"Date of departure from Singapore is earlier than date of arrival in Singapore",IF(AW44&gt;0,"Please check that no overlapping periods exist.",IF(AX44&gt;0,"Your stay exceeds a 12-month period. Please email us as per instructions under Section 1.", ""))))))))</f>
        <v/>
      </c>
    </row>
    <row r="45" spans="2:52" ht="31.5" customHeight="1" x14ac:dyDescent="0.25">
      <c r="B45" s="164"/>
      <c r="C45" s="157"/>
      <c r="D45" s="49"/>
      <c r="E45" s="49"/>
      <c r="F45" s="445" t="s">
        <v>26</v>
      </c>
      <c r="G45" s="445"/>
      <c r="H45" s="445"/>
      <c r="I45" s="445"/>
      <c r="J45" s="445"/>
      <c r="K45" s="445"/>
      <c r="L45" s="445"/>
      <c r="M45" s="444"/>
      <c r="N45" s="444"/>
      <c r="O45" s="444"/>
      <c r="P45" s="444"/>
      <c r="Q45" s="444"/>
      <c r="R45" s="444"/>
      <c r="S45" s="444"/>
      <c r="T45" s="444"/>
      <c r="U45" s="444"/>
      <c r="V45" s="444"/>
      <c r="W45" s="443" t="str">
        <f>IF(AY45="highlight period",AZ45,IF(OR(M45="",R45="",$AY$51&gt;0),"",IF(days!$E$3="calendar",days!N19,IF(AND(M46&lt;&gt;"",R46&lt;&gt;""),"",days!N38))))</f>
        <v/>
      </c>
      <c r="X45" s="443"/>
      <c r="Y45" s="443"/>
      <c r="Z45" s="443"/>
      <c r="AA45" s="443"/>
      <c r="AB45" s="443"/>
      <c r="AC45" s="443"/>
      <c r="AD45" s="443"/>
      <c r="AE45" s="443"/>
      <c r="AF45" s="443"/>
      <c r="AG45" s="443"/>
      <c r="AH45" s="443"/>
      <c r="AI45" s="443"/>
      <c r="AJ45" s="443"/>
      <c r="AK45" s="443"/>
      <c r="AL45" s="443"/>
      <c r="AM45" s="50"/>
      <c r="AN45" s="15"/>
      <c r="AO45" s="54"/>
      <c r="AS45" s="163" t="str">
        <f t="shared" si="1"/>
        <v/>
      </c>
      <c r="AT45" s="163">
        <f>COUNTIF($AS$38:AS44,"error")</f>
        <v>0</v>
      </c>
      <c r="AU45" s="163">
        <f t="shared" si="2"/>
        <v>0</v>
      </c>
      <c r="AV45" s="163">
        <f t="shared" si="3"/>
        <v>0</v>
      </c>
      <c r="AW45" s="163">
        <f t="shared" si="4"/>
        <v>0</v>
      </c>
      <c r="AX45" s="291">
        <f>IF(days!$E$3="moving",IF(R45&gt;$AX$38,1,0),0)</f>
        <v>0</v>
      </c>
      <c r="AY45" s="202" t="str">
        <f t="shared" si="0"/>
        <v>ok</v>
      </c>
      <c r="AZ45" s="143" t="str">
        <f>IF((AND(COUNTBLANK(M45)+COUNTBLANK(R45)=2,COUNTA(M46:$M$50)+COUNTA(R46:$R$50)&gt;0))=TRUE,"Do not skip any row",IF(AZ44="Do not skip any row","",IF(COUNTBLANK(M45)+COUNTBLANK(R45)=2,"",IF(COUNTBLANK(M45)=1,"Please enter date of arrival in Singapore",IF(COUNTBLANK(R45)=1,"Please enter date of departure from Singapore",IF(R45&lt;M45,"Date of departure from Singapore is earlier than date of arrival in Singapore",IF(AW45&gt;0,"Please check that no overlapping periods exist.",IF(AX45&gt;0,"Your stay exceeds a 12-month period. Please email us as per instructions under Section 1.", ""))))))))</f>
        <v/>
      </c>
    </row>
    <row r="46" spans="2:52" ht="31.5" customHeight="1" x14ac:dyDescent="0.25">
      <c r="B46" s="164"/>
      <c r="C46" s="157"/>
      <c r="D46" s="51"/>
      <c r="E46" s="52"/>
      <c r="F46" s="445" t="s">
        <v>27</v>
      </c>
      <c r="G46" s="445"/>
      <c r="H46" s="445"/>
      <c r="I46" s="445"/>
      <c r="J46" s="445"/>
      <c r="K46" s="445"/>
      <c r="L46" s="445"/>
      <c r="M46" s="444"/>
      <c r="N46" s="444"/>
      <c r="O46" s="444"/>
      <c r="P46" s="444"/>
      <c r="Q46" s="444"/>
      <c r="R46" s="444"/>
      <c r="S46" s="444"/>
      <c r="T46" s="444"/>
      <c r="U46" s="444"/>
      <c r="V46" s="444"/>
      <c r="W46" s="443" t="str">
        <f>IF(AY46="highlight period",AZ46,IF(OR(M46="",R46="",$AY$51&gt;0),"",IF(days!$E$3="calendar",days!N20,IF(AND(M47&lt;&gt;"",R47&lt;&gt;""),"",days!N39))))</f>
        <v/>
      </c>
      <c r="X46" s="443"/>
      <c r="Y46" s="443"/>
      <c r="Z46" s="443"/>
      <c r="AA46" s="443"/>
      <c r="AB46" s="443"/>
      <c r="AC46" s="443"/>
      <c r="AD46" s="443"/>
      <c r="AE46" s="443"/>
      <c r="AF46" s="443"/>
      <c r="AG46" s="443"/>
      <c r="AH46" s="443"/>
      <c r="AI46" s="443"/>
      <c r="AJ46" s="443"/>
      <c r="AK46" s="443"/>
      <c r="AL46" s="443"/>
      <c r="AM46" s="50"/>
      <c r="AN46" s="15"/>
      <c r="AO46" s="54"/>
      <c r="AS46" s="163" t="str">
        <f t="shared" si="1"/>
        <v/>
      </c>
      <c r="AT46" s="163">
        <f>COUNTIF($AS$38:AS45,"error")</f>
        <v>0</v>
      </c>
      <c r="AU46" s="163">
        <f t="shared" si="2"/>
        <v>0</v>
      </c>
      <c r="AV46" s="163">
        <f t="shared" si="3"/>
        <v>0</v>
      </c>
      <c r="AW46" s="163">
        <f t="shared" si="4"/>
        <v>0</v>
      </c>
      <c r="AX46" s="291">
        <f>IF(days!$E$3="moving",IF(R46&gt;$AX$38,1,0),0)</f>
        <v>0</v>
      </c>
      <c r="AY46" s="202" t="str">
        <f t="shared" si="0"/>
        <v>ok</v>
      </c>
      <c r="AZ46" s="143" t="str">
        <f>IF((AND(COUNTBLANK(M46)+COUNTBLANK(R46)=2,COUNTA(M47:$M$50)+COUNTA(R47:$R$50)&gt;0))=TRUE,"Do not skip any row",IF(AZ45="Do not skip any row","",IF(COUNTBLANK(M46)+COUNTBLANK(R46)=2,"",IF(COUNTBLANK(M46)=1,"Please enter date of arrival in Singapore",IF(COUNTBLANK(R46)=1,"Please enter date of departure from Singapore",IF(R46&lt;M46,"Date of departure from Singapore is earlier than date of arrival in Singapore",IF(AW46&gt;0,"Please check that no overlapping periods exist.",IF(AX46&gt;0,"Your stay exceeds a 12-month period. Please email us as per instructions under Section 1.", ""))))))))</f>
        <v/>
      </c>
    </row>
    <row r="47" spans="2:52" ht="31.5" customHeight="1" x14ac:dyDescent="0.25">
      <c r="B47" s="164"/>
      <c r="C47" s="157"/>
      <c r="D47" s="47"/>
      <c r="E47" s="47"/>
      <c r="F47" s="445" t="s">
        <v>28</v>
      </c>
      <c r="G47" s="445"/>
      <c r="H47" s="445"/>
      <c r="I47" s="445"/>
      <c r="J47" s="445"/>
      <c r="K47" s="445"/>
      <c r="L47" s="445"/>
      <c r="M47" s="444"/>
      <c r="N47" s="444"/>
      <c r="O47" s="444"/>
      <c r="P47" s="444"/>
      <c r="Q47" s="444"/>
      <c r="R47" s="444"/>
      <c r="S47" s="444"/>
      <c r="T47" s="444"/>
      <c r="U47" s="444"/>
      <c r="V47" s="444"/>
      <c r="W47" s="443" t="str">
        <f>IF(AY47="highlight period",AZ47,IF(OR(M47="",R47="",$AY$51&gt;0),"",IF(days!$E$3="calendar",days!N21,IF(AND(M48&lt;&gt;"",R48&lt;&gt;""),"",days!N40))))</f>
        <v/>
      </c>
      <c r="X47" s="443"/>
      <c r="Y47" s="443"/>
      <c r="Z47" s="443"/>
      <c r="AA47" s="443"/>
      <c r="AB47" s="443"/>
      <c r="AC47" s="443"/>
      <c r="AD47" s="443"/>
      <c r="AE47" s="443"/>
      <c r="AF47" s="443"/>
      <c r="AG47" s="443"/>
      <c r="AH47" s="443"/>
      <c r="AI47" s="443"/>
      <c r="AJ47" s="443"/>
      <c r="AK47" s="443"/>
      <c r="AL47" s="443"/>
      <c r="AM47" s="50"/>
      <c r="AN47" s="15"/>
      <c r="AO47" s="54"/>
      <c r="AS47" s="163" t="str">
        <f t="shared" si="1"/>
        <v/>
      </c>
      <c r="AT47" s="163">
        <f>COUNTIF($AS$38:AS46,"error")</f>
        <v>0</v>
      </c>
      <c r="AU47" s="163">
        <f t="shared" si="2"/>
        <v>0</v>
      </c>
      <c r="AV47" s="163">
        <f t="shared" si="3"/>
        <v>0</v>
      </c>
      <c r="AW47" s="163">
        <f t="shared" si="4"/>
        <v>0</v>
      </c>
      <c r="AX47" s="291">
        <f>IF(days!$E$3="moving",IF(R47&gt;$AX$38,1,0),0)</f>
        <v>0</v>
      </c>
      <c r="AY47" s="202" t="str">
        <f t="shared" si="0"/>
        <v>ok</v>
      </c>
      <c r="AZ47" s="143" t="str">
        <f>IF((AND(COUNTBLANK(M47)+COUNTBLANK(R47)=2,COUNTA(M48:$M$50)+COUNTA(R48:$R$50)&gt;0))=TRUE,"Do not skip any row",IF(AZ46="Do not skip any row","",IF(COUNTBLANK(M47)+COUNTBLANK(R47)=2,"",IF(COUNTBLANK(M47)=1,"Please enter date of arrival in Singapore",IF(COUNTBLANK(R47)=1,"Please enter date of departure from Singapore",IF(R47&lt;M47,"Date of departure from Singapore is earlier than date of arrival in Singapore",IF(AW47&gt;0,"Please check that no overlapping periods exist.",IF(AX47&gt;0,"Your stay exceeds a 12-month period. Please email us as per instructions under Section 1.", ""))))))))</f>
        <v/>
      </c>
    </row>
    <row r="48" spans="2:52" ht="31.5" customHeight="1" x14ac:dyDescent="0.25">
      <c r="B48" s="164"/>
      <c r="C48" s="157"/>
      <c r="D48" s="36"/>
      <c r="E48" s="49"/>
      <c r="F48" s="445" t="s">
        <v>29</v>
      </c>
      <c r="G48" s="445"/>
      <c r="H48" s="445"/>
      <c r="I48" s="445"/>
      <c r="J48" s="445"/>
      <c r="K48" s="445"/>
      <c r="L48" s="445"/>
      <c r="M48" s="444"/>
      <c r="N48" s="444"/>
      <c r="O48" s="444"/>
      <c r="P48" s="444"/>
      <c r="Q48" s="444"/>
      <c r="R48" s="444"/>
      <c r="S48" s="444"/>
      <c r="T48" s="444"/>
      <c r="U48" s="444"/>
      <c r="V48" s="444"/>
      <c r="W48" s="443" t="str">
        <f>IF(AY48="highlight period",AZ48,IF(OR(M48="",R48="",$AY$51&gt;0),"",IF(days!$E$3="calendar",days!N22,IF(AND(M49&lt;&gt;"",R49&lt;&gt;""),"",days!N41))))</f>
        <v/>
      </c>
      <c r="X48" s="443"/>
      <c r="Y48" s="443"/>
      <c r="Z48" s="443"/>
      <c r="AA48" s="443"/>
      <c r="AB48" s="443"/>
      <c r="AC48" s="443"/>
      <c r="AD48" s="443"/>
      <c r="AE48" s="443"/>
      <c r="AF48" s="443"/>
      <c r="AG48" s="443"/>
      <c r="AH48" s="443"/>
      <c r="AI48" s="443"/>
      <c r="AJ48" s="443"/>
      <c r="AK48" s="443"/>
      <c r="AL48" s="443"/>
      <c r="AM48" s="50"/>
      <c r="AN48" s="15"/>
      <c r="AO48" s="54"/>
      <c r="AS48" s="163" t="str">
        <f t="shared" si="1"/>
        <v/>
      </c>
      <c r="AT48" s="163">
        <f>COUNTIF($AS$38:AS47,"error")</f>
        <v>0</v>
      </c>
      <c r="AU48" s="163">
        <f t="shared" si="2"/>
        <v>0</v>
      </c>
      <c r="AV48" s="163">
        <f t="shared" si="3"/>
        <v>0</v>
      </c>
      <c r="AW48" s="163">
        <f t="shared" si="4"/>
        <v>0</v>
      </c>
      <c r="AX48" s="291">
        <f>IF(days!$E$3="moving",IF(R48&gt;$AX$38,1,0),0)</f>
        <v>0</v>
      </c>
      <c r="AY48" s="202" t="str">
        <f t="shared" si="0"/>
        <v>ok</v>
      </c>
      <c r="AZ48" s="143" t="str">
        <f>IF((AND(COUNTBLANK(M48)+COUNTBLANK(R48)=2,COUNTA(M49:$M$50)+COUNTA(R49:$R$50)&gt;0))=TRUE,"Do not skip any row",IF(AZ47="Do not skip any row","",IF(COUNTBLANK(M48)+COUNTBLANK(R48)=2,"",IF(COUNTBLANK(M48)=1,"Please enter date of arrival in Singapore",IF(COUNTBLANK(R48)=1,"Please enter date of departure from Singapore",IF(R48&lt;M48,"Date of departure from Singapore is earlier than date of arrival in Singapore",IF(AW48&gt;0,"Please check that no overlapping periods exist.",IF(AX48&gt;0,"Your stay exceeds a 12-month period. Please email us as per instructions under Section 1.", ""))))))))</f>
        <v/>
      </c>
    </row>
    <row r="49" spans="2:52" ht="31.5" customHeight="1" x14ac:dyDescent="0.25">
      <c r="B49" s="164"/>
      <c r="C49" s="157"/>
      <c r="D49" s="36"/>
      <c r="E49" s="49"/>
      <c r="F49" s="445" t="s">
        <v>30</v>
      </c>
      <c r="G49" s="445"/>
      <c r="H49" s="445"/>
      <c r="I49" s="445"/>
      <c r="J49" s="445"/>
      <c r="K49" s="445"/>
      <c r="L49" s="445"/>
      <c r="M49" s="444"/>
      <c r="N49" s="444"/>
      <c r="O49" s="444"/>
      <c r="P49" s="444"/>
      <c r="Q49" s="444"/>
      <c r="R49" s="444"/>
      <c r="S49" s="444"/>
      <c r="T49" s="444"/>
      <c r="U49" s="444"/>
      <c r="V49" s="444"/>
      <c r="W49" s="443" t="str">
        <f>IF(AY49="highlight period",AZ49,IF(OR(M49="",R49="",$AY$51&gt;0),"",IF(days!$E$3="calendar",days!N23,IF(AND(M50&lt;&gt;"",R50&lt;&gt;""),"",days!N42))))</f>
        <v/>
      </c>
      <c r="X49" s="443"/>
      <c r="Y49" s="443"/>
      <c r="Z49" s="443"/>
      <c r="AA49" s="443"/>
      <c r="AB49" s="443"/>
      <c r="AC49" s="443"/>
      <c r="AD49" s="443"/>
      <c r="AE49" s="443"/>
      <c r="AF49" s="443"/>
      <c r="AG49" s="443"/>
      <c r="AH49" s="443"/>
      <c r="AI49" s="443"/>
      <c r="AJ49" s="443"/>
      <c r="AK49" s="443"/>
      <c r="AL49" s="443"/>
      <c r="AM49" s="50"/>
      <c r="AN49" s="15"/>
      <c r="AO49" s="54"/>
      <c r="AS49" s="163" t="str">
        <f t="shared" si="1"/>
        <v/>
      </c>
      <c r="AT49" s="163">
        <f>COUNTIF($AS$38:AS48,"error")</f>
        <v>0</v>
      </c>
      <c r="AU49" s="163">
        <f>IF(AND(R49&lt;&gt;"",M49=""),1,0)</f>
        <v>0</v>
      </c>
      <c r="AV49" s="163">
        <f>IF(OR(R49="",M49=""),0,IF(R49-M49&gt;=0,0,1))</f>
        <v>0</v>
      </c>
      <c r="AW49" s="163">
        <f t="shared" si="4"/>
        <v>0</v>
      </c>
      <c r="AX49" s="291">
        <f>IF(days!$E$3="moving",IF(R49&gt;$AX$38,1,0),0)</f>
        <v>0</v>
      </c>
      <c r="AY49" s="202" t="str">
        <f t="shared" si="0"/>
        <v>ok</v>
      </c>
      <c r="AZ49" s="143" t="str">
        <f>IF((AND(COUNTBLANK(M49)+COUNTBLANK(R49)=2,COUNTA(M50:$M$50)+COUNTA(R50:$R$50)&gt;0))=TRUE,"Do not skip any row",IF(AZ48="Do not skip any row","",IF(COUNTBLANK(M49)+COUNTBLANK(R49)=2,"",IF(COUNTBLANK(M49)=1,"Please enter date of arrival in Singapore",IF(COUNTBLANK(R49)=1,"Please enter date of departure from Singapore",IF(R49&lt;M49,"Date of departure from Singapore is earlier than date of arrival in Singapore",IF(AW49&gt;0,"Please check that no overlapping periods exist.",IF(AX49&gt;0,"Your stay exceeds a 12-month period. Please email us as per instructions under Section 1.", ""))))))))</f>
        <v/>
      </c>
    </row>
    <row r="50" spans="2:52" ht="31.5" customHeight="1" x14ac:dyDescent="0.25">
      <c r="B50" s="164"/>
      <c r="C50" s="157"/>
      <c r="D50" s="36"/>
      <c r="E50" s="49"/>
      <c r="F50" s="445" t="s">
        <v>31</v>
      </c>
      <c r="G50" s="445"/>
      <c r="H50" s="445"/>
      <c r="I50" s="445"/>
      <c r="J50" s="445"/>
      <c r="K50" s="445"/>
      <c r="L50" s="445"/>
      <c r="M50" s="444"/>
      <c r="N50" s="444"/>
      <c r="O50" s="444"/>
      <c r="P50" s="444"/>
      <c r="Q50" s="444"/>
      <c r="R50" s="444"/>
      <c r="S50" s="444"/>
      <c r="T50" s="444"/>
      <c r="U50" s="444"/>
      <c r="V50" s="444"/>
      <c r="W50" s="443" t="str">
        <f>IF(AY50="highlight period",AZ50,IF(OR(M50="",R50="",$AY$51&gt;0),"",IF(days!$E$3="calendar",days!N24,days!N43)))</f>
        <v/>
      </c>
      <c r="X50" s="443"/>
      <c r="Y50" s="443"/>
      <c r="Z50" s="443"/>
      <c r="AA50" s="443"/>
      <c r="AB50" s="443"/>
      <c r="AC50" s="443"/>
      <c r="AD50" s="443"/>
      <c r="AE50" s="443"/>
      <c r="AF50" s="443"/>
      <c r="AG50" s="443"/>
      <c r="AH50" s="443"/>
      <c r="AI50" s="443"/>
      <c r="AJ50" s="443"/>
      <c r="AK50" s="443"/>
      <c r="AL50" s="443"/>
      <c r="AM50" s="50"/>
      <c r="AN50" s="15"/>
      <c r="AO50" s="54"/>
      <c r="AS50" s="163" t="str">
        <f t="shared" si="1"/>
        <v/>
      </c>
      <c r="AT50" s="163">
        <f>COUNTIF($AS$38:AS49,"error")</f>
        <v>0</v>
      </c>
      <c r="AU50" s="163">
        <f>IF(AND(R50&lt;&gt;"",M50=""),1,0)</f>
        <v>0</v>
      </c>
      <c r="AV50" s="163">
        <f>IF(OR(R50="",M50=""),0,IF(R50-M50&gt;=0,0,1))</f>
        <v>0</v>
      </c>
      <c r="AW50" s="290">
        <v>0</v>
      </c>
      <c r="AX50" s="291">
        <f>IF(days!$E$3="moving",IF(R50&gt;$AX$38,1,0),0)</f>
        <v>0</v>
      </c>
      <c r="AY50" s="202" t="str">
        <f t="shared" si="0"/>
        <v>ok</v>
      </c>
      <c r="AZ50" s="143" t="str">
        <f>IF((AND(COUNTBLANK(M50)+COUNTBLANK(R50)=2,COUNTA(M$50:$M51)+COUNTA(R$50:$R51)&gt;0))=TRUE,"Do not skip any row",IF(AZ49="Do not skip any row","",IF(COUNTBLANK(M50)+COUNTBLANK(R50)=2,"",IF(COUNTBLANK(M50)=1,"Please enter date of arrival in Singapore",IF(COUNTBLANK(R50)=1,"Please enter date of departure from Singapore",IF(R50&lt;M50,"Date of departure from Singapore is earlier than date of arrival in Singapore",IF(AW50&gt;0,"Please check that no overlapping periods exist.",IF(AX50&gt;0,"Your stay exceeds a 12-month period. Please email us as per instructions under Section 1.", ""))))))))</f>
        <v/>
      </c>
    </row>
    <row r="51" spans="2:52" ht="18.600000000000001" customHeight="1" x14ac:dyDescent="0.25">
      <c r="B51" s="164"/>
      <c r="C51" s="161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4"/>
      <c r="AJ51" s="50"/>
      <c r="AK51" s="50"/>
      <c r="AL51" s="14"/>
      <c r="AM51" s="48"/>
      <c r="AN51" s="15"/>
      <c r="AO51" s="54"/>
      <c r="AY51" s="202">
        <f>COUNTIF(AY39:AY50,"highlight period")</f>
        <v>0</v>
      </c>
    </row>
    <row r="52" spans="2:52" ht="19.899999999999999" customHeight="1" x14ac:dyDescent="0.25">
      <c r="B52" s="164"/>
      <c r="C52" s="165"/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  <c r="U52" s="166"/>
      <c r="W52" s="166"/>
      <c r="X52" s="166"/>
      <c r="Y52" s="166"/>
      <c r="Z52" s="166"/>
      <c r="AA52" s="166"/>
      <c r="AB52" s="166"/>
      <c r="AC52" s="166"/>
      <c r="AD52" s="166"/>
      <c r="AE52" s="166"/>
      <c r="AF52" s="166"/>
      <c r="AG52" s="166"/>
      <c r="AH52" s="166"/>
      <c r="AI52" s="55"/>
      <c r="AJ52" s="167"/>
      <c r="AK52" s="167"/>
      <c r="AL52" s="167"/>
      <c r="AM52" s="167"/>
      <c r="AN52" s="166"/>
      <c r="AO52" s="54"/>
    </row>
    <row r="53" spans="2:52" ht="17.25" x14ac:dyDescent="0.3">
      <c r="B53" s="168"/>
      <c r="C53" s="56"/>
      <c r="D53" s="169"/>
      <c r="E53" s="169"/>
      <c r="F53" s="169"/>
      <c r="G53" s="466" t="str">
        <f>IF($AE$13="","",IF(days!$E$3&lt;&gt;"calendar","","Total stay in Singapore:"))</f>
        <v/>
      </c>
      <c r="H53" s="466"/>
      <c r="I53" s="466"/>
      <c r="J53" s="466"/>
      <c r="K53" s="466"/>
      <c r="L53" s="466"/>
      <c r="M53" s="466"/>
      <c r="N53" s="466"/>
      <c r="O53" s="466"/>
      <c r="P53" s="313"/>
      <c r="Q53" s="466" t="str">
        <f>IF($AE$13="","",IF(OR(days!$E$3&lt;&gt;"calendar",days!I25=0),"",IF($AY$51&gt;0,"error",CONCATENATE(days!I25,IF(days!I25=1," day"," days")," (year ",days!I12,")"))))</f>
        <v/>
      </c>
      <c r="R53" s="466"/>
      <c r="S53" s="466"/>
      <c r="T53" s="466"/>
      <c r="U53" s="466"/>
      <c r="V53" s="466"/>
      <c r="W53" s="466"/>
      <c r="X53" s="466"/>
      <c r="Y53" s="466"/>
      <c r="Z53" s="466"/>
      <c r="AA53" s="313"/>
      <c r="AB53" s="466" t="str">
        <f>IF($AE$13="","",IF(OR(days!$E$3&lt;&gt;"calendar",days!J25=0),"",IF($AY$51&gt;0,"error",CONCATENATE(days!J25,IF(days!J25=1," day"," days")," (year ",days!J12,")"))))</f>
        <v/>
      </c>
      <c r="AC53" s="466"/>
      <c r="AD53" s="466"/>
      <c r="AE53" s="466"/>
      <c r="AF53" s="466"/>
      <c r="AG53" s="466"/>
      <c r="AH53" s="466"/>
      <c r="AI53" s="466"/>
      <c r="AJ53" s="466"/>
      <c r="AK53" s="466"/>
      <c r="AL53" s="57"/>
      <c r="AM53" s="57"/>
      <c r="AN53" s="58"/>
      <c r="AO53" s="59"/>
      <c r="AX53" s="163" t="str">
        <f>IF(AND($AZ$51&lt;=0,days!I25&gt;183),days!I12,"")</f>
        <v/>
      </c>
      <c r="AY53" s="163" t="str">
        <f>IF(AND($AZ$51&lt;=0,days!J25&gt;183),days!J12,"")</f>
        <v/>
      </c>
    </row>
    <row r="54" spans="2:52" ht="15.75" thickBot="1" x14ac:dyDescent="0.3">
      <c r="B54" s="148"/>
      <c r="C54" s="158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72"/>
      <c r="R54" s="172"/>
      <c r="S54" s="172"/>
      <c r="T54" s="172"/>
      <c r="U54" s="172"/>
      <c r="V54" s="172"/>
      <c r="W54" s="172"/>
      <c r="X54" s="172"/>
      <c r="Y54" s="172"/>
      <c r="Z54" s="172"/>
      <c r="AA54" s="159"/>
      <c r="AB54" s="172"/>
      <c r="AC54" s="172"/>
      <c r="AD54" s="172"/>
      <c r="AE54" s="172"/>
      <c r="AF54" s="172"/>
      <c r="AG54" s="172"/>
      <c r="AH54" s="172"/>
      <c r="AI54" s="173"/>
      <c r="AJ54" s="174"/>
      <c r="AK54" s="174"/>
      <c r="AL54" s="61"/>
      <c r="AM54" s="61"/>
      <c r="AN54" s="62"/>
      <c r="AO54" s="63"/>
    </row>
    <row r="55" spans="2:52" x14ac:dyDescent="0.25">
      <c r="B55" s="151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3"/>
      <c r="AJ55" s="266"/>
      <c r="AK55" s="266"/>
      <c r="AL55" s="266"/>
      <c r="AM55" s="19"/>
      <c r="AN55" s="19"/>
      <c r="AO55" s="16"/>
    </row>
    <row r="56" spans="2:52" ht="24" customHeight="1" x14ac:dyDescent="0.3">
      <c r="B56" s="484" t="s">
        <v>32</v>
      </c>
      <c r="C56" s="484"/>
      <c r="D56" s="484"/>
      <c r="E56" s="484"/>
      <c r="F56" s="484"/>
      <c r="G56" s="484"/>
      <c r="H56" s="484"/>
      <c r="I56" s="484"/>
      <c r="J56" s="484"/>
      <c r="K56" s="484"/>
      <c r="L56" s="484"/>
      <c r="M56" s="484"/>
      <c r="N56" s="484"/>
      <c r="O56" s="484"/>
      <c r="P56" s="484"/>
      <c r="Q56" s="484"/>
      <c r="R56" s="484"/>
      <c r="S56" s="484"/>
      <c r="T56" s="484"/>
      <c r="U56" s="484"/>
      <c r="V56" s="484"/>
      <c r="W56" s="484"/>
      <c r="X56" s="484"/>
      <c r="Y56" s="484"/>
      <c r="Z56" s="484"/>
      <c r="AA56" s="484"/>
      <c r="AB56" s="484"/>
      <c r="AC56" s="484"/>
      <c r="AD56" s="484"/>
      <c r="AE56" s="484"/>
      <c r="AF56" s="484"/>
      <c r="AG56" s="484"/>
      <c r="AH56" s="484"/>
      <c r="AI56" s="484"/>
      <c r="AJ56" s="484"/>
      <c r="AK56" s="484"/>
      <c r="AL56" s="484"/>
      <c r="AM56" s="484"/>
      <c r="AN56" s="484"/>
      <c r="AO56" s="484"/>
      <c r="AS56" s="163" t="str">
        <f>IF($AE$13="","Hide",IF(AND($D$59=calcNresults!$C$105,COUNTA($I$79,$AH$79)&gt;0),"Show","Hide"))</f>
        <v>Hide</v>
      </c>
    </row>
    <row r="57" spans="2:52" ht="15" customHeight="1" x14ac:dyDescent="0.25">
      <c r="B57" s="500" t="str">
        <f>IF(days!E3="moving",calcNresults!C127,"")</f>
        <v/>
      </c>
      <c r="C57" s="500"/>
      <c r="D57" s="500"/>
      <c r="E57" s="500"/>
      <c r="F57" s="500"/>
      <c r="G57" s="500"/>
      <c r="H57" s="500"/>
      <c r="I57" s="500"/>
      <c r="J57" s="500"/>
      <c r="K57" s="500"/>
      <c r="L57" s="500"/>
      <c r="M57" s="500"/>
      <c r="N57" s="500"/>
      <c r="O57" s="500"/>
      <c r="P57" s="500"/>
      <c r="Q57" s="500"/>
      <c r="R57" s="500"/>
      <c r="S57" s="500"/>
      <c r="T57" s="500"/>
      <c r="U57" s="500"/>
      <c r="V57" s="500"/>
      <c r="W57" s="500"/>
      <c r="X57" s="500"/>
      <c r="Y57" s="500"/>
      <c r="Z57" s="500"/>
      <c r="AA57" s="500"/>
      <c r="AB57" s="500"/>
      <c r="AC57" s="500"/>
      <c r="AD57" s="500"/>
      <c r="AE57" s="500"/>
      <c r="AF57" s="500"/>
      <c r="AG57" s="500"/>
      <c r="AH57" s="500"/>
      <c r="AI57" s="500"/>
      <c r="AJ57" s="500"/>
      <c r="AK57" s="500"/>
      <c r="AL57" s="500"/>
      <c r="AM57" s="500"/>
      <c r="AN57" s="500"/>
      <c r="AO57" s="500"/>
    </row>
    <row r="58" spans="2:52" ht="20.25" customHeight="1" x14ac:dyDescent="0.25">
      <c r="B58" s="34"/>
      <c r="C58" s="203"/>
      <c r="D58" s="203"/>
      <c r="E58" s="203"/>
      <c r="AI58" s="203"/>
      <c r="AJ58" s="203"/>
      <c r="AK58" s="203"/>
      <c r="AL58" s="203"/>
      <c r="AM58" s="203"/>
      <c r="AN58" s="203"/>
      <c r="AO58" s="37"/>
    </row>
    <row r="59" spans="2:52" ht="34.35" customHeight="1" x14ac:dyDescent="0.25">
      <c r="B59" s="34"/>
      <c r="C59" s="203"/>
      <c r="D59" s="483" t="str">
        <f>IF(AX39=1,calcNresults!C37,IF(OR($AE$13="",$AY$51&gt;0),"",IF(days!$E$3="limited treaty",calcNresults!C64,IF(calcNresults!$D$31="No",calcNresults!C37,IF(calcNresults!$D$31="Yes",calcNresults!C46,IF(calcNresults!$D$31="partial",calcNresults!C55,""))))))</f>
        <v/>
      </c>
      <c r="E59" s="483"/>
      <c r="F59" s="483"/>
      <c r="G59" s="483"/>
      <c r="H59" s="483"/>
      <c r="I59" s="483"/>
      <c r="J59" s="483"/>
      <c r="K59" s="483"/>
      <c r="L59" s="483"/>
      <c r="M59" s="483"/>
      <c r="N59" s="483"/>
      <c r="O59" s="483"/>
      <c r="P59" s="483"/>
      <c r="Q59" s="483"/>
      <c r="R59" s="483"/>
      <c r="S59" s="483"/>
      <c r="T59" s="483"/>
      <c r="U59" s="483"/>
      <c r="V59" s="483"/>
      <c r="W59" s="483"/>
      <c r="X59" s="483"/>
      <c r="Y59" s="483"/>
      <c r="Z59" s="483"/>
      <c r="AA59" s="483"/>
      <c r="AB59" s="483"/>
      <c r="AC59" s="483"/>
      <c r="AD59" s="483"/>
      <c r="AE59" s="483"/>
      <c r="AF59" s="483"/>
      <c r="AG59" s="483"/>
      <c r="AH59" s="483"/>
      <c r="AI59" s="483"/>
      <c r="AJ59" s="483"/>
      <c r="AK59" s="483"/>
      <c r="AL59" s="483"/>
      <c r="AM59" s="203"/>
      <c r="AN59" s="203"/>
      <c r="AO59" s="37"/>
    </row>
    <row r="60" spans="2:52" ht="34.35" customHeight="1" x14ac:dyDescent="0.25">
      <c r="B60" s="34"/>
      <c r="C60" s="229" t="str">
        <f>IF(OR(D60="",calcNresults!$D$31="partial"),"",CONCATENATE("-",CHAR(10)))</f>
        <v/>
      </c>
      <c r="D60" s="483" t="str">
        <f>IF(AX39=1,calcNresults!C38,IF(OR($AE$13="",$AY$51&gt;0),"",IF(days!$E$3="limited treaty",calcNresults!C65,IF(calcNresults!$D$31="No",calcNresults!C38,IF(calcNresults!$D$31="Yes",calcNresults!C47,IF(calcNresults!$D$31="partial",calcNresults!C56,""))))))</f>
        <v/>
      </c>
      <c r="E60" s="483"/>
      <c r="F60" s="483"/>
      <c r="G60" s="483"/>
      <c r="H60" s="483"/>
      <c r="I60" s="483"/>
      <c r="J60" s="483"/>
      <c r="K60" s="483"/>
      <c r="L60" s="483"/>
      <c r="M60" s="483"/>
      <c r="N60" s="483"/>
      <c r="O60" s="483"/>
      <c r="P60" s="483"/>
      <c r="Q60" s="483"/>
      <c r="R60" s="483"/>
      <c r="S60" s="483"/>
      <c r="T60" s="483"/>
      <c r="U60" s="483"/>
      <c r="V60" s="483"/>
      <c r="W60" s="483"/>
      <c r="X60" s="483"/>
      <c r="Y60" s="483"/>
      <c r="Z60" s="483"/>
      <c r="AA60" s="483"/>
      <c r="AB60" s="483"/>
      <c r="AC60" s="483"/>
      <c r="AD60" s="483"/>
      <c r="AE60" s="483"/>
      <c r="AF60" s="483"/>
      <c r="AG60" s="483"/>
      <c r="AH60" s="483"/>
      <c r="AI60" s="483"/>
      <c r="AJ60" s="483"/>
      <c r="AK60" s="483"/>
      <c r="AL60" s="483"/>
      <c r="AM60" s="203"/>
      <c r="AN60" s="203"/>
      <c r="AO60" s="37"/>
    </row>
    <row r="61" spans="2:52" ht="32.25" customHeight="1" x14ac:dyDescent="0.25">
      <c r="B61" s="34"/>
      <c r="C61" s="229" t="str">
        <f>IF(OR(D61="",calcNresults!$D$31="partial"),"",CONCATENATE("-",CHAR(10)))</f>
        <v/>
      </c>
      <c r="D61" s="483" t="str">
        <f>IF(AX39=1,calcNresults!C39,IF(OR($AE$13="",$AY$51&gt;0),"",IF(days!$E$3="limited treaty",calcNresults!C66,IF(calcNresults!$D$31="No",calcNresults!C39,IF(calcNresults!$D$31="Yes",calcNresults!C48,IF(calcNresults!$D$31="partial",calcNresults!C57,""))))))</f>
        <v/>
      </c>
      <c r="E61" s="483"/>
      <c r="F61" s="483"/>
      <c r="G61" s="483"/>
      <c r="H61" s="483"/>
      <c r="I61" s="483"/>
      <c r="J61" s="483"/>
      <c r="K61" s="483"/>
      <c r="L61" s="483"/>
      <c r="M61" s="483"/>
      <c r="N61" s="483"/>
      <c r="O61" s="483"/>
      <c r="P61" s="483"/>
      <c r="Q61" s="483"/>
      <c r="R61" s="483"/>
      <c r="S61" s="483"/>
      <c r="T61" s="483"/>
      <c r="U61" s="483"/>
      <c r="V61" s="483"/>
      <c r="W61" s="483"/>
      <c r="X61" s="483"/>
      <c r="Y61" s="483"/>
      <c r="Z61" s="483"/>
      <c r="AA61" s="483"/>
      <c r="AB61" s="483"/>
      <c r="AC61" s="483"/>
      <c r="AD61" s="483"/>
      <c r="AE61" s="483"/>
      <c r="AF61" s="483"/>
      <c r="AG61" s="483"/>
      <c r="AH61" s="483"/>
      <c r="AI61" s="483"/>
      <c r="AJ61" s="483"/>
      <c r="AK61" s="483"/>
      <c r="AL61" s="483"/>
      <c r="AM61" s="203"/>
      <c r="AN61" s="203"/>
      <c r="AO61" s="37"/>
    </row>
    <row r="62" spans="2:52" ht="32.25" customHeight="1" x14ac:dyDescent="0.25">
      <c r="B62" s="34"/>
      <c r="C62" s="316" t="str">
        <f>IF(OR(D62="",calcNresults!$D$31="partial"),"","-")</f>
        <v/>
      </c>
      <c r="D62" s="483" t="str">
        <f>IF(AX39=1,calcNresults!C40,IF(OR($AE$13="",$AY$51&gt;0),"",IF(days!$E$3="limited treaty",calcNresults!C67,IF(calcNresults!$D$31="No",calcNresults!C40,IF(calcNresults!$D$31="Yes",calcNresults!C49,IF(calcNresults!$D$31="partial",calcNresults!C58,""))))))</f>
        <v/>
      </c>
      <c r="E62" s="483"/>
      <c r="F62" s="483"/>
      <c r="G62" s="483"/>
      <c r="H62" s="483"/>
      <c r="I62" s="483"/>
      <c r="J62" s="483"/>
      <c r="K62" s="483"/>
      <c r="L62" s="483"/>
      <c r="M62" s="483"/>
      <c r="N62" s="483"/>
      <c r="O62" s="483"/>
      <c r="P62" s="483"/>
      <c r="Q62" s="483"/>
      <c r="R62" s="483"/>
      <c r="S62" s="483"/>
      <c r="T62" s="483"/>
      <c r="U62" s="483"/>
      <c r="V62" s="483"/>
      <c r="W62" s="483"/>
      <c r="X62" s="483"/>
      <c r="Y62" s="483"/>
      <c r="Z62" s="483"/>
      <c r="AA62" s="483"/>
      <c r="AB62" s="483"/>
      <c r="AC62" s="483"/>
      <c r="AD62" s="483"/>
      <c r="AE62" s="483"/>
      <c r="AF62" s="483"/>
      <c r="AG62" s="483"/>
      <c r="AH62" s="483"/>
      <c r="AI62" s="483"/>
      <c r="AJ62" s="483"/>
      <c r="AK62" s="483"/>
      <c r="AL62" s="483"/>
      <c r="AM62" s="203"/>
      <c r="AN62" s="203"/>
      <c r="AO62" s="37"/>
    </row>
    <row r="63" spans="2:52" ht="34.35" customHeight="1" x14ac:dyDescent="0.25">
      <c r="B63" s="34"/>
      <c r="C63" s="229" t="str">
        <f>IF(OR(D63="",calcNresults!$D$31="partial"),"","-")</f>
        <v/>
      </c>
      <c r="D63" s="483" t="str">
        <f>IF(AX39=1,calcNresults!C41,IF(OR($AE$13="",$AY$51&gt;0),"",IF(days!$E$3="limited treaty",calcNresults!C68,IF(calcNresults!$D$31="No",calcNresults!C41,IF(calcNresults!$D$31="Yes",calcNresults!C50,IF(calcNresults!$D$31="partial",calcNresults!C59,""))))))</f>
        <v/>
      </c>
      <c r="E63" s="483"/>
      <c r="F63" s="483"/>
      <c r="G63" s="483"/>
      <c r="H63" s="483"/>
      <c r="I63" s="483"/>
      <c r="J63" s="483"/>
      <c r="K63" s="483"/>
      <c r="L63" s="483"/>
      <c r="M63" s="483"/>
      <c r="N63" s="483"/>
      <c r="O63" s="483"/>
      <c r="P63" s="483"/>
      <c r="Q63" s="483"/>
      <c r="R63" s="483"/>
      <c r="S63" s="483"/>
      <c r="T63" s="483"/>
      <c r="U63" s="483"/>
      <c r="V63" s="483"/>
      <c r="W63" s="483"/>
      <c r="X63" s="483"/>
      <c r="Y63" s="483"/>
      <c r="Z63" s="483"/>
      <c r="AA63" s="483"/>
      <c r="AB63" s="483"/>
      <c r="AC63" s="483"/>
      <c r="AD63" s="483"/>
      <c r="AE63" s="483"/>
      <c r="AF63" s="483"/>
      <c r="AG63" s="483"/>
      <c r="AH63" s="483"/>
      <c r="AI63" s="483"/>
      <c r="AJ63" s="483"/>
      <c r="AK63" s="483"/>
      <c r="AL63" s="483"/>
      <c r="AM63" s="203"/>
      <c r="AN63" s="203"/>
      <c r="AO63" s="37"/>
    </row>
    <row r="64" spans="2:52" ht="38.450000000000003" customHeight="1" x14ac:dyDescent="0.25">
      <c r="B64" s="34"/>
      <c r="C64" s="203"/>
      <c r="D64" s="497" t="str">
        <f>IF(AX39=1,calcNresults!C42,IF(OR($AE$13="",$AY$51&gt;0),"",IF(days!$E$3="limited treaty",calcNresults!C69,IF(calcNresults!$D$31="No",calcNresults!C42,IF(calcNresults!$D$31="Yes",calcNresults!C51,IF(calcNresults!$D$31="partial",calcNresults!C60,""))))))</f>
        <v/>
      </c>
      <c r="E64" s="497"/>
      <c r="F64" s="497"/>
      <c r="G64" s="497"/>
      <c r="H64" s="497"/>
      <c r="I64" s="497"/>
      <c r="J64" s="497"/>
      <c r="K64" s="497"/>
      <c r="L64" s="497"/>
      <c r="M64" s="497"/>
      <c r="N64" s="497"/>
      <c r="O64" s="497"/>
      <c r="P64" s="497"/>
      <c r="Q64" s="497"/>
      <c r="R64" s="497"/>
      <c r="S64" s="497"/>
      <c r="T64" s="497"/>
      <c r="U64" s="497"/>
      <c r="V64" s="497"/>
      <c r="W64" s="497"/>
      <c r="X64" s="497"/>
      <c r="Y64" s="497"/>
      <c r="Z64" s="497"/>
      <c r="AA64" s="497"/>
      <c r="AB64" s="497"/>
      <c r="AC64" s="497"/>
      <c r="AD64" s="497"/>
      <c r="AE64" s="497"/>
      <c r="AF64" s="497"/>
      <c r="AG64" s="497"/>
      <c r="AH64" s="497"/>
      <c r="AI64" s="497"/>
      <c r="AJ64" s="497"/>
      <c r="AK64" s="497"/>
      <c r="AL64" s="497"/>
      <c r="AM64" s="203"/>
      <c r="AN64" s="203"/>
      <c r="AO64" s="37"/>
    </row>
    <row r="65" spans="2:45" ht="22.9" customHeight="1" x14ac:dyDescent="0.25">
      <c r="B65" s="38"/>
      <c r="C65" s="203"/>
      <c r="D65" s="487" t="str">
        <f>IF(AX39=1,calcNresults!C43,IF(OR($AE$13="",$AY$51&gt;0),"",IF(days!$E$3="limited treaty",calcNresults!C70,IF(calcNresults!$D$31="No",calcNresults!C43,IF(calcNresults!$D$31="Yes",calcNresults!C52,IF(calcNresults!$D$31="partial",calcNresults!C61,""))))))</f>
        <v/>
      </c>
      <c r="E65" s="487"/>
      <c r="F65" s="487"/>
      <c r="G65" s="487"/>
      <c r="H65" s="487"/>
      <c r="I65" s="487"/>
      <c r="J65" s="487"/>
      <c r="K65" s="487"/>
      <c r="L65" s="487"/>
      <c r="M65" s="487"/>
      <c r="N65" s="487"/>
      <c r="O65" s="487"/>
      <c r="P65" s="487"/>
      <c r="Q65" s="487"/>
      <c r="R65" s="487"/>
      <c r="S65" s="487"/>
      <c r="T65" s="487"/>
      <c r="U65" s="487"/>
      <c r="V65" s="487"/>
      <c r="W65" s="487"/>
      <c r="X65" s="487"/>
      <c r="Y65" s="437" t="str">
        <f>IF(AX39=1,calcNresults!G43,IF(OR($AE$13="",$AY$51&gt;0),"",IF(days!$E$3="limited treaty",calcNresults!G70,IF(calcNresults!$D$31="No",calcNresults!G43,IF(calcNresults!$D$31="Yes",calcNresults!G52,IF(calcNresults!$D$31="partial",calcNresults!G61,""))))))</f>
        <v/>
      </c>
      <c r="Z65" s="437"/>
      <c r="AA65" s="437"/>
      <c r="AB65" s="437"/>
      <c r="AC65" s="437"/>
      <c r="AD65" s="437"/>
      <c r="AE65" s="437"/>
      <c r="AF65" s="437"/>
      <c r="AG65" s="437"/>
      <c r="AH65" s="437"/>
      <c r="AI65" s="437"/>
      <c r="AJ65" s="314"/>
      <c r="AK65" s="314"/>
      <c r="AL65" s="314"/>
      <c r="AM65" s="205"/>
      <c r="AN65" s="203"/>
      <c r="AO65" s="37"/>
    </row>
    <row r="66" spans="2:45" x14ac:dyDescent="0.25">
      <c r="B66" s="38"/>
      <c r="C66" s="203"/>
      <c r="D66" s="203"/>
      <c r="AI66" s="203"/>
      <c r="AJ66" s="203"/>
      <c r="AK66" s="203"/>
      <c r="AL66" s="203"/>
      <c r="AM66" s="203"/>
      <c r="AN66" s="203"/>
      <c r="AO66" s="37"/>
    </row>
    <row r="67" spans="2:45" ht="24" customHeight="1" x14ac:dyDescent="0.25"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</row>
    <row r="68" spans="2:45" x14ac:dyDescent="0.25">
      <c r="B68" s="14" t="str">
        <f>IF(AND($AS$70="Show",$I$79&lt;&gt;""),"Name of Employee:","")</f>
        <v/>
      </c>
      <c r="C68" s="315"/>
      <c r="D68" s="315"/>
      <c r="E68" s="315"/>
      <c r="F68" s="315"/>
      <c r="G68" s="315"/>
      <c r="H68" s="438" t="str">
        <f>IF(B68="","",PROPER($I$79))</f>
        <v/>
      </c>
      <c r="I68" s="438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315"/>
      <c r="AB68" s="14" t="str">
        <f>IF(AND($AS$70="Show",$AF$79&lt;&gt;""),$AB$79,"")</f>
        <v/>
      </c>
      <c r="AC68" s="315"/>
      <c r="AD68" s="315"/>
      <c r="AE68" s="315"/>
      <c r="AF68" s="442" t="str">
        <f>IF($AB$68="","",UPPER($AF$79))</f>
        <v/>
      </c>
      <c r="AG68" s="442"/>
      <c r="AH68" s="442"/>
      <c r="AI68" s="442"/>
      <c r="AJ68" s="442"/>
      <c r="AK68" s="442"/>
      <c r="AL68" s="442"/>
      <c r="AM68" s="442"/>
      <c r="AN68" s="442"/>
      <c r="AO68" s="315"/>
    </row>
    <row r="69" spans="2:45" ht="15.75" thickBot="1" x14ac:dyDescent="0.3"/>
    <row r="70" spans="2:45" ht="23.45" customHeight="1" thickBot="1" x14ac:dyDescent="0.3">
      <c r="B70" s="384" t="s">
        <v>33</v>
      </c>
      <c r="C70" s="384"/>
      <c r="D70" s="384"/>
      <c r="E70" s="384"/>
      <c r="F70" s="384"/>
      <c r="G70" s="384"/>
      <c r="H70" s="384"/>
      <c r="I70" s="384"/>
      <c r="J70" s="384"/>
      <c r="K70" s="384"/>
      <c r="L70" s="384"/>
      <c r="M70" s="384"/>
      <c r="N70" s="384"/>
      <c r="O70" s="384"/>
      <c r="P70" s="384"/>
      <c r="Q70" s="384"/>
      <c r="R70" s="384"/>
      <c r="S70" s="384"/>
      <c r="T70" s="384"/>
      <c r="U70" s="384"/>
      <c r="V70" s="384"/>
      <c r="W70" s="384"/>
      <c r="X70" s="384"/>
      <c r="Y70" s="384"/>
      <c r="Z70" s="384"/>
      <c r="AA70" s="384"/>
      <c r="AB70" s="384"/>
      <c r="AC70" s="384"/>
      <c r="AD70" s="384"/>
      <c r="AE70" s="384"/>
      <c r="AF70" s="384"/>
      <c r="AG70" s="384"/>
      <c r="AH70" s="384"/>
      <c r="AI70" s="384"/>
      <c r="AJ70" s="384"/>
      <c r="AK70" s="384"/>
      <c r="AL70" s="384"/>
      <c r="AM70" s="384"/>
      <c r="AN70" s="384"/>
      <c r="AO70" s="384"/>
      <c r="AS70" s="163" t="str">
        <f>IF(AND($AE$13&lt;&gt;"",OR(calcNresults!$D$31="Yes",calcNresults!$D$31="partial")),"Show","Hide")</f>
        <v>Hide</v>
      </c>
    </row>
    <row r="71" spans="2:45" ht="17.25" x14ac:dyDescent="0.25">
      <c r="B71" s="295"/>
      <c r="C71" s="206"/>
      <c r="D71" s="57"/>
      <c r="E71" s="57"/>
      <c r="F71" s="57"/>
      <c r="G71" s="57"/>
      <c r="H71" s="57"/>
      <c r="I71" s="57"/>
      <c r="J71" s="57"/>
      <c r="K71" s="57"/>
      <c r="L71" s="57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1"/>
      <c r="AK71" s="31"/>
      <c r="AL71" s="31"/>
      <c r="AM71" s="28"/>
      <c r="AN71" s="28"/>
      <c r="AO71" s="207"/>
    </row>
    <row r="72" spans="2:45" ht="15.75" x14ac:dyDescent="0.25">
      <c r="B72" s="295"/>
      <c r="C72" s="206" t="s">
        <v>34</v>
      </c>
      <c r="D72" s="293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293"/>
      <c r="Z72" s="293"/>
      <c r="AA72" s="293"/>
      <c r="AB72" s="293"/>
      <c r="AC72" s="293"/>
      <c r="AD72" s="293"/>
      <c r="AE72" s="293"/>
      <c r="AF72" s="293"/>
      <c r="AG72" s="293"/>
      <c r="AH72" s="293"/>
      <c r="AI72" s="293"/>
      <c r="AJ72" s="293"/>
      <c r="AK72" s="293"/>
      <c r="AL72" s="293"/>
      <c r="AM72" s="293"/>
      <c r="AN72" s="293"/>
      <c r="AO72" s="207"/>
    </row>
    <row r="73" spans="2:45" ht="16.350000000000001" customHeight="1" x14ac:dyDescent="0.25">
      <c r="B73" s="308"/>
      <c r="C73" s="499" t="s">
        <v>35</v>
      </c>
      <c r="D73" s="499"/>
      <c r="E73" s="499"/>
      <c r="F73" s="499"/>
      <c r="G73" s="499"/>
      <c r="H73" s="499"/>
      <c r="I73" s="499"/>
      <c r="J73" s="309"/>
      <c r="K73" s="309"/>
      <c r="L73" s="309"/>
      <c r="M73" s="309"/>
      <c r="AO73" s="207"/>
    </row>
    <row r="74" spans="2:45" ht="16.350000000000001" customHeight="1" x14ac:dyDescent="0.25">
      <c r="B74" s="296"/>
      <c r="C74" s="311">
        <v>1</v>
      </c>
      <c r="D74" s="297" t="s">
        <v>36</v>
      </c>
      <c r="E74" s="298"/>
      <c r="F74" s="298"/>
      <c r="G74" s="298"/>
      <c r="H74" s="298"/>
      <c r="I74" s="298"/>
      <c r="J74" s="298"/>
      <c r="K74" s="298"/>
      <c r="L74" s="298"/>
      <c r="AO74" s="207"/>
    </row>
    <row r="75" spans="2:45" ht="15.6" customHeight="1" x14ac:dyDescent="0.25">
      <c r="B75" s="296"/>
      <c r="C75" s="312">
        <v>2</v>
      </c>
      <c r="D75" s="498" t="s">
        <v>37</v>
      </c>
      <c r="E75" s="498"/>
      <c r="F75" s="498"/>
      <c r="G75" s="498"/>
      <c r="H75" s="498"/>
      <c r="I75" s="498"/>
      <c r="J75" s="498"/>
      <c r="K75" s="498"/>
      <c r="L75" s="498"/>
      <c r="M75" s="498"/>
      <c r="N75" s="498"/>
      <c r="O75" s="498"/>
      <c r="P75" s="498"/>
      <c r="Q75" s="498"/>
      <c r="R75" s="498"/>
      <c r="S75" s="498"/>
      <c r="T75" s="498"/>
      <c r="U75" s="498"/>
      <c r="V75" s="498"/>
      <c r="W75" s="498"/>
      <c r="X75" s="498"/>
      <c r="Y75" s="498"/>
      <c r="Z75" s="498"/>
      <c r="AA75" s="498"/>
      <c r="AB75" s="498"/>
      <c r="AC75" s="498"/>
      <c r="AD75" s="498"/>
      <c r="AE75" s="498"/>
      <c r="AF75" s="498"/>
      <c r="AG75" s="498"/>
      <c r="AH75" s="498"/>
      <c r="AI75" s="498"/>
      <c r="AJ75" s="498"/>
      <c r="AK75" s="498"/>
      <c r="AL75" s="498"/>
      <c r="AM75" s="498"/>
      <c r="AN75" s="498"/>
      <c r="AO75" s="207"/>
    </row>
    <row r="76" spans="2:45" ht="16.5" customHeight="1" x14ac:dyDescent="0.25">
      <c r="B76" s="296"/>
      <c r="C76" s="310"/>
      <c r="D76" s="498"/>
      <c r="E76" s="498"/>
      <c r="F76" s="498"/>
      <c r="G76" s="498"/>
      <c r="H76" s="498"/>
      <c r="I76" s="498"/>
      <c r="J76" s="498"/>
      <c r="K76" s="498"/>
      <c r="L76" s="498"/>
      <c r="M76" s="498"/>
      <c r="N76" s="498"/>
      <c r="O76" s="498"/>
      <c r="P76" s="498"/>
      <c r="Q76" s="498"/>
      <c r="R76" s="498"/>
      <c r="S76" s="498"/>
      <c r="T76" s="498"/>
      <c r="U76" s="498"/>
      <c r="V76" s="498"/>
      <c r="W76" s="498"/>
      <c r="X76" s="498"/>
      <c r="Y76" s="498"/>
      <c r="Z76" s="498"/>
      <c r="AA76" s="498"/>
      <c r="AB76" s="498"/>
      <c r="AC76" s="498"/>
      <c r="AD76" s="498"/>
      <c r="AE76" s="498"/>
      <c r="AF76" s="498"/>
      <c r="AG76" s="498"/>
      <c r="AH76" s="498"/>
      <c r="AI76" s="498"/>
      <c r="AJ76" s="498"/>
      <c r="AK76" s="498"/>
      <c r="AL76" s="498"/>
      <c r="AM76" s="498"/>
      <c r="AN76" s="498"/>
      <c r="AO76" s="207"/>
    </row>
    <row r="77" spans="2:45" ht="14.25" customHeight="1" x14ac:dyDescent="0.25">
      <c r="B77" s="295"/>
      <c r="C77" s="293"/>
      <c r="D77" s="293"/>
      <c r="E77" s="293"/>
      <c r="F77" s="293"/>
      <c r="G77" s="293"/>
      <c r="H77" s="293"/>
      <c r="I77" s="293"/>
      <c r="J77" s="293"/>
      <c r="K77" s="293"/>
      <c r="L77" s="293"/>
      <c r="M77" s="293"/>
      <c r="N77" s="293"/>
      <c r="O77" s="293"/>
      <c r="P77" s="293"/>
      <c r="Q77" s="293"/>
      <c r="R77" s="293"/>
      <c r="S77" s="293"/>
      <c r="T77" s="293"/>
      <c r="U77" s="293"/>
      <c r="V77" s="293"/>
      <c r="W77" s="293"/>
      <c r="X77" s="293"/>
      <c r="Y77" s="293"/>
      <c r="Z77" s="293"/>
      <c r="AA77" s="293"/>
      <c r="AB77" s="293"/>
      <c r="AC77" s="293"/>
      <c r="AD77" s="293"/>
      <c r="AE77" s="293"/>
      <c r="AF77" s="293"/>
      <c r="AG77" s="293"/>
      <c r="AH77" s="293"/>
      <c r="AI77" s="293"/>
      <c r="AJ77" s="293"/>
      <c r="AK77" s="293"/>
      <c r="AL77" s="293"/>
      <c r="AM77" s="293"/>
      <c r="AN77" s="293"/>
      <c r="AO77" s="207"/>
    </row>
    <row r="78" spans="2:45" ht="16.5" x14ac:dyDescent="0.3">
      <c r="B78" s="234"/>
      <c r="C78" s="235" t="s">
        <v>38</v>
      </c>
      <c r="D78" s="208"/>
      <c r="E78" s="208"/>
      <c r="F78" s="208"/>
      <c r="G78" s="208"/>
      <c r="H78" s="209"/>
      <c r="I78" s="209"/>
      <c r="J78" s="209"/>
      <c r="K78" s="209"/>
      <c r="L78" s="209"/>
      <c r="N78" s="23"/>
      <c r="O78" s="23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9"/>
      <c r="AN78" s="70"/>
      <c r="AO78" s="236"/>
    </row>
    <row r="79" spans="2:45" ht="15.75" x14ac:dyDescent="0.25">
      <c r="B79" s="237"/>
      <c r="C79" s="238" t="s">
        <v>39</v>
      </c>
      <c r="D79" s="210"/>
      <c r="E79" s="224"/>
      <c r="F79" s="224"/>
      <c r="G79" s="224"/>
      <c r="H79" s="267"/>
      <c r="I79" s="482"/>
      <c r="J79" s="482"/>
      <c r="K79" s="482"/>
      <c r="L79" s="482"/>
      <c r="M79" s="482"/>
      <c r="N79" s="482"/>
      <c r="O79" s="482"/>
      <c r="P79" s="482"/>
      <c r="Q79" s="482"/>
      <c r="R79" s="482"/>
      <c r="S79" s="482"/>
      <c r="T79" s="482"/>
      <c r="U79" s="482"/>
      <c r="V79" s="482"/>
      <c r="W79" s="482"/>
      <c r="X79" s="482"/>
      <c r="Y79" s="482"/>
      <c r="Z79" s="482"/>
      <c r="AA79" s="239"/>
      <c r="AB79" s="238" t="s">
        <v>40</v>
      </c>
      <c r="AC79" s="238"/>
      <c r="AD79" s="224"/>
      <c r="AE79" s="224"/>
      <c r="AF79" s="391"/>
      <c r="AG79" s="391"/>
      <c r="AH79" s="391"/>
      <c r="AI79" s="391"/>
      <c r="AJ79" s="391"/>
      <c r="AK79" s="391"/>
      <c r="AL79" s="391"/>
      <c r="AM79" s="391"/>
      <c r="AN79" s="391"/>
      <c r="AO79" s="240"/>
    </row>
    <row r="80" spans="2:45" ht="15.75" x14ac:dyDescent="0.25">
      <c r="B80" s="237"/>
      <c r="C80" s="241" t="s">
        <v>41</v>
      </c>
      <c r="D80" s="210"/>
      <c r="E80" s="224"/>
      <c r="F80" s="224"/>
      <c r="G80" s="224"/>
      <c r="H80" s="202"/>
      <c r="I80" s="485"/>
      <c r="J80" s="485"/>
      <c r="K80" s="485"/>
      <c r="L80" s="485"/>
      <c r="M80" s="485"/>
      <c r="N80" s="485"/>
      <c r="O80" s="485"/>
      <c r="P80" s="485"/>
      <c r="Q80" s="485"/>
      <c r="R80" s="226"/>
      <c r="AB80" s="241" t="s">
        <v>42</v>
      </c>
      <c r="AC80" s="241"/>
      <c r="AD80" s="225"/>
      <c r="AE80" s="225"/>
      <c r="AF80" s="486"/>
      <c r="AG80" s="486"/>
      <c r="AH80" s="486"/>
      <c r="AI80" s="486"/>
      <c r="AJ80" s="486"/>
      <c r="AK80" s="486"/>
      <c r="AL80" s="486"/>
      <c r="AM80" s="486"/>
      <c r="AN80" s="486"/>
      <c r="AO80" s="240"/>
    </row>
    <row r="81" spans="2:58" ht="15.75" x14ac:dyDescent="0.25">
      <c r="B81" s="237"/>
      <c r="C81" s="241" t="s">
        <v>43</v>
      </c>
      <c r="D81" s="211"/>
      <c r="E81" s="225"/>
      <c r="F81" s="225"/>
      <c r="G81" s="225"/>
      <c r="H81" s="242"/>
      <c r="I81" s="459"/>
      <c r="J81" s="459"/>
      <c r="K81" s="459"/>
      <c r="L81" s="459"/>
      <c r="M81" s="459"/>
      <c r="N81" s="459"/>
      <c r="O81" s="459"/>
      <c r="P81" s="459"/>
      <c r="Q81" s="459"/>
      <c r="R81" s="459"/>
      <c r="S81" s="459"/>
      <c r="T81" s="459"/>
      <c r="U81" s="459"/>
      <c r="V81" s="459"/>
      <c r="W81" s="459"/>
      <c r="X81" s="459"/>
      <c r="Y81" s="459"/>
      <c r="Z81" s="459"/>
      <c r="AA81" s="459"/>
      <c r="AB81" s="459"/>
      <c r="AC81" s="459"/>
      <c r="AD81" s="459"/>
      <c r="AE81" s="459"/>
      <c r="AF81" s="459"/>
      <c r="AG81" s="459"/>
      <c r="AH81" s="459"/>
      <c r="AI81" s="459"/>
      <c r="AJ81" s="459"/>
      <c r="AK81" s="459"/>
      <c r="AL81" s="459"/>
      <c r="AM81" s="459"/>
      <c r="AN81" s="459"/>
      <c r="AO81" s="240"/>
    </row>
    <row r="82" spans="2:58" ht="15.75" x14ac:dyDescent="0.25">
      <c r="B82" s="237"/>
      <c r="C82" s="58"/>
      <c r="D82" s="36"/>
      <c r="H82" s="243"/>
      <c r="I82" s="424"/>
      <c r="J82" s="424"/>
      <c r="K82" s="424"/>
      <c r="L82" s="424"/>
      <c r="M82" s="424"/>
      <c r="N82" s="424"/>
      <c r="O82" s="424"/>
      <c r="P82" s="424"/>
      <c r="Q82" s="424"/>
      <c r="R82" s="424"/>
      <c r="S82" s="424"/>
      <c r="T82" s="424"/>
      <c r="U82" s="424"/>
      <c r="V82" s="424"/>
      <c r="W82" s="424"/>
      <c r="X82" s="424"/>
      <c r="Y82" s="424"/>
      <c r="Z82" s="424"/>
      <c r="AA82" s="424"/>
      <c r="AB82" s="424"/>
      <c r="AC82" s="424"/>
      <c r="AD82" s="424"/>
      <c r="AE82" s="424"/>
      <c r="AF82" s="424"/>
      <c r="AG82" s="424"/>
      <c r="AH82" s="424"/>
      <c r="AI82" s="424"/>
      <c r="AJ82" s="424"/>
      <c r="AK82" s="424"/>
      <c r="AL82" s="424"/>
      <c r="AM82" s="424"/>
      <c r="AN82" s="424"/>
      <c r="AO82" s="240"/>
    </row>
    <row r="83" spans="2:58" ht="15.75" customHeight="1" x14ac:dyDescent="0.25">
      <c r="B83" s="237"/>
      <c r="C83" s="439" t="s">
        <v>44</v>
      </c>
      <c r="D83" s="440"/>
      <c r="E83" s="440"/>
      <c r="F83" s="440"/>
      <c r="G83" s="440"/>
      <c r="I83" s="228"/>
      <c r="J83" s="424" t="str">
        <f>PROPER(IF($AE$13="","",VLOOKUP($AE$13,matrix,16,FALSE)))</f>
        <v/>
      </c>
      <c r="K83" s="424"/>
      <c r="L83" s="424"/>
      <c r="M83" s="424"/>
      <c r="N83" s="424"/>
      <c r="O83" s="424"/>
      <c r="P83" s="424"/>
      <c r="Q83" s="424"/>
      <c r="R83" s="424"/>
      <c r="S83" s="424"/>
      <c r="T83" s="424"/>
      <c r="U83" s="424"/>
      <c r="V83" s="227"/>
      <c r="W83" s="238" t="s">
        <v>45</v>
      </c>
      <c r="X83" s="224"/>
      <c r="Y83" s="224"/>
      <c r="Z83" s="425"/>
      <c r="AA83" s="425"/>
      <c r="AB83" s="425"/>
      <c r="AC83" s="425"/>
      <c r="AD83" s="425"/>
      <c r="AE83" s="425"/>
      <c r="AF83" s="425"/>
      <c r="AG83" s="425"/>
      <c r="AH83" s="425"/>
      <c r="AI83" s="425"/>
      <c r="AJ83" s="425"/>
      <c r="AK83" s="425"/>
      <c r="AL83" s="425"/>
      <c r="AM83" s="425"/>
      <c r="AN83" s="425"/>
      <c r="AO83" s="240"/>
    </row>
    <row r="84" spans="2:58" ht="15.75" x14ac:dyDescent="0.25">
      <c r="B84" s="237"/>
      <c r="C84" s="58"/>
      <c r="D84" s="218"/>
      <c r="E84" s="218"/>
      <c r="F84" s="219"/>
      <c r="G84" s="220"/>
      <c r="H84" s="212"/>
      <c r="I84" s="212"/>
      <c r="J84" s="212"/>
      <c r="K84" s="221"/>
      <c r="L84" s="222"/>
      <c r="AO84" s="240"/>
    </row>
    <row r="85" spans="2:58" ht="15.75" x14ac:dyDescent="0.25">
      <c r="B85" s="234"/>
      <c r="C85" s="235" t="s">
        <v>46</v>
      </c>
      <c r="D85" s="36"/>
      <c r="E85" s="36"/>
      <c r="F85" s="213"/>
      <c r="G85" s="214"/>
      <c r="H85" s="215"/>
      <c r="I85" s="215"/>
      <c r="J85" s="215"/>
      <c r="K85" s="215"/>
      <c r="L85" s="216"/>
      <c r="AO85" s="236"/>
      <c r="BA85" s="143" t="s">
        <v>47</v>
      </c>
      <c r="BE85" s="143" t="s">
        <v>48</v>
      </c>
    </row>
    <row r="86" spans="2:58" ht="9.75" customHeight="1" x14ac:dyDescent="0.25">
      <c r="B86" s="234"/>
      <c r="C86" s="58"/>
      <c r="D86" s="217"/>
      <c r="E86" s="217"/>
      <c r="F86" s="217"/>
      <c r="G86" s="217"/>
      <c r="H86" s="58"/>
      <c r="I86" s="58"/>
      <c r="J86" s="58"/>
      <c r="K86" s="215"/>
      <c r="L86" s="216"/>
      <c r="AO86" s="236"/>
    </row>
    <row r="87" spans="2:58" ht="15.95" customHeight="1" x14ac:dyDescent="0.25">
      <c r="B87" s="234"/>
      <c r="C87" s="436" t="s">
        <v>49</v>
      </c>
      <c r="D87" s="436"/>
      <c r="E87" s="436"/>
      <c r="F87" s="436"/>
      <c r="G87" s="436"/>
      <c r="H87" s="436"/>
      <c r="I87" s="436"/>
      <c r="J87" s="436"/>
      <c r="K87" s="436"/>
      <c r="L87" s="436"/>
      <c r="M87" s="436"/>
      <c r="N87" s="436"/>
      <c r="O87" s="436"/>
      <c r="P87" s="436"/>
      <c r="Q87" s="436"/>
      <c r="R87" s="436"/>
      <c r="S87" s="436"/>
      <c r="T87" s="436"/>
      <c r="U87" s="436"/>
      <c r="V87" s="436"/>
      <c r="W87" s="436"/>
      <c r="X87" s="436"/>
      <c r="Y87" s="435" t="s">
        <v>50</v>
      </c>
      <c r="Z87" s="435"/>
      <c r="AA87" s="435"/>
      <c r="AB87" s="435"/>
      <c r="AC87" s="435"/>
      <c r="AD87" s="435"/>
      <c r="AE87" s="435"/>
      <c r="AF87" s="435"/>
      <c r="AG87" s="435"/>
      <c r="AH87" s="435"/>
      <c r="AI87" s="441" t="s">
        <v>51</v>
      </c>
      <c r="AJ87" s="441"/>
      <c r="AK87" s="441"/>
      <c r="AL87" s="441"/>
      <c r="AM87" s="441"/>
      <c r="AN87" s="441"/>
      <c r="AO87" s="236"/>
      <c r="AT87" s="245" t="s">
        <v>52</v>
      </c>
      <c r="AU87" s="246"/>
      <c r="AV87" s="245" t="s">
        <v>53</v>
      </c>
      <c r="AW87" s="246"/>
      <c r="BA87" s="286" t="s">
        <v>54</v>
      </c>
      <c r="BB87" s="286"/>
      <c r="BE87" s="286" t="s">
        <v>54</v>
      </c>
      <c r="BF87" s="286"/>
    </row>
    <row r="88" spans="2:58" ht="15.75" x14ac:dyDescent="0.25">
      <c r="B88" s="234"/>
      <c r="C88" s="436"/>
      <c r="D88" s="436"/>
      <c r="E88" s="436"/>
      <c r="F88" s="436"/>
      <c r="G88" s="436"/>
      <c r="H88" s="436"/>
      <c r="I88" s="436"/>
      <c r="J88" s="436"/>
      <c r="K88" s="436"/>
      <c r="L88" s="436"/>
      <c r="M88" s="436"/>
      <c r="N88" s="436"/>
      <c r="O88" s="436"/>
      <c r="P88" s="436"/>
      <c r="Q88" s="436"/>
      <c r="R88" s="436"/>
      <c r="S88" s="436"/>
      <c r="T88" s="436"/>
      <c r="U88" s="436"/>
      <c r="V88" s="436"/>
      <c r="W88" s="436"/>
      <c r="X88" s="436"/>
      <c r="Y88" s="435" t="s">
        <v>11</v>
      </c>
      <c r="Z88" s="435"/>
      <c r="AA88" s="435"/>
      <c r="AB88" s="435"/>
      <c r="AC88" s="435"/>
      <c r="AD88" s="435" t="s">
        <v>55</v>
      </c>
      <c r="AE88" s="435"/>
      <c r="AF88" s="435"/>
      <c r="AG88" s="435"/>
      <c r="AH88" s="435"/>
      <c r="AI88" s="441"/>
      <c r="AJ88" s="441"/>
      <c r="AK88" s="441"/>
      <c r="AL88" s="441"/>
      <c r="AM88" s="441"/>
      <c r="AN88" s="441"/>
      <c r="AO88" s="236"/>
      <c r="AT88" s="247" t="s">
        <v>11</v>
      </c>
      <c r="AU88" s="18" t="s">
        <v>55</v>
      </c>
      <c r="AV88" s="18" t="s">
        <v>11</v>
      </c>
      <c r="AW88" s="18" t="s">
        <v>55</v>
      </c>
      <c r="AX88" s="248" t="s">
        <v>56</v>
      </c>
      <c r="BA88" s="286" t="s">
        <v>11</v>
      </c>
      <c r="BB88" s="286" t="s">
        <v>55</v>
      </c>
      <c r="BE88" s="286" t="s">
        <v>11</v>
      </c>
      <c r="BF88" s="286" t="s">
        <v>55</v>
      </c>
    </row>
    <row r="89" spans="2:58" ht="15.75" x14ac:dyDescent="0.25">
      <c r="B89" s="234"/>
      <c r="C89" s="479"/>
      <c r="D89" s="480"/>
      <c r="E89" s="480"/>
      <c r="F89" s="480"/>
      <c r="G89" s="480"/>
      <c r="H89" s="480"/>
      <c r="I89" s="480"/>
      <c r="J89" s="480"/>
      <c r="K89" s="480"/>
      <c r="L89" s="480"/>
      <c r="M89" s="480"/>
      <c r="N89" s="480"/>
      <c r="O89" s="480"/>
      <c r="P89" s="480"/>
      <c r="Q89" s="480"/>
      <c r="R89" s="480"/>
      <c r="S89" s="480"/>
      <c r="T89" s="480"/>
      <c r="U89" s="480"/>
      <c r="V89" s="480"/>
      <c r="W89" s="480"/>
      <c r="X89" s="481"/>
      <c r="Y89" s="387" t="e">
        <f ca="1">BE89</f>
        <v>#N/A</v>
      </c>
      <c r="Z89" s="387"/>
      <c r="AA89" s="387"/>
      <c r="AB89" s="387"/>
      <c r="AC89" s="387"/>
      <c r="AD89" s="387" t="e">
        <f ca="1">BF89</f>
        <v>#N/A</v>
      </c>
      <c r="AE89" s="387"/>
      <c r="AF89" s="387"/>
      <c r="AG89" s="387"/>
      <c r="AH89" s="387"/>
      <c r="AI89" s="432"/>
      <c r="AJ89" s="432"/>
      <c r="AK89" s="432"/>
      <c r="AL89" s="432"/>
      <c r="AM89" s="432"/>
      <c r="AN89" s="432"/>
      <c r="AO89" s="236"/>
      <c r="AT89" s="249" t="str">
        <f t="shared" ref="AT89:AT98" si="5">IF(M39="","",M39)</f>
        <v/>
      </c>
      <c r="AU89" s="249" t="str">
        <f t="shared" ref="AU89:AU98" si="6">IF(R39="","",R39)</f>
        <v/>
      </c>
      <c r="AV89" s="250" t="str">
        <f>IF(YEAR(M39)=YEAR(R39),"",DATE(YEAR(R39),1,1))</f>
        <v/>
      </c>
      <c r="AW89" s="250" t="str">
        <f t="shared" ref="AW89:AW98" si="7">IF(YEAR(M39)=YEAR(R39),"",DATE(YEAR(M39),12,31))</f>
        <v/>
      </c>
      <c r="AX89" s="151">
        <v>0</v>
      </c>
      <c r="AZ89" s="288" t="str">
        <f>IF(BA89="","",IF(YEAR(BA89)=days!$I$27,0,1+AZ88))</f>
        <v/>
      </c>
      <c r="BA89" s="287" t="str">
        <f>AT89</f>
        <v/>
      </c>
      <c r="BB89" s="287" t="str">
        <f>IF(AW89="",AU89,AW89)</f>
        <v/>
      </c>
      <c r="BD89" s="143">
        <v>1</v>
      </c>
      <c r="BE89" s="287" t="e">
        <f ca="1">IF(AND(OR($AE$13="France",$AE$13="Thailand"),days!$H$56="YesNo"),IF($BD89&gt;$AZ$102,"",VLOOKUP($BD89,$AZ$89:$BB$101,2,FALSE)),IF(days!$E$3="moving",BA89,IF(days!$I$26="both",BA89,IF($BD89&gt;$AZ$102,"",VLOOKUP($BD89,$AZ$89:$BB$101,2,FALSE)))))</f>
        <v>#N/A</v>
      </c>
      <c r="BF89" s="287" t="e">
        <f ca="1">IF(AND(OR($AE$13="France",$AE$13="Thailand"),days!$H$56="YesNo"),IF($BD89&gt;$AZ$102,"",VLOOKUP($BD89,$AZ$89:$BB$101,3,FALSE)),IF(days!$E$3="moving",BB89,IF(days!$I$26="both",BB89,IF($BD89&gt;$AZ$102,"",VLOOKUP($BD89,$AZ$89:$BB$101,3,FALSE)))))</f>
        <v>#N/A</v>
      </c>
    </row>
    <row r="90" spans="2:58" ht="15.75" x14ac:dyDescent="0.25">
      <c r="B90" s="234"/>
      <c r="C90" s="433"/>
      <c r="D90" s="433"/>
      <c r="E90" s="433"/>
      <c r="F90" s="433"/>
      <c r="G90" s="433"/>
      <c r="H90" s="433"/>
      <c r="I90" s="433"/>
      <c r="J90" s="433"/>
      <c r="K90" s="433"/>
      <c r="L90" s="433"/>
      <c r="M90" s="433"/>
      <c r="N90" s="433"/>
      <c r="O90" s="433"/>
      <c r="P90" s="433"/>
      <c r="Q90" s="433"/>
      <c r="R90" s="433"/>
      <c r="S90" s="433"/>
      <c r="T90" s="433"/>
      <c r="U90" s="433"/>
      <c r="V90" s="433"/>
      <c r="W90" s="433"/>
      <c r="X90" s="433"/>
      <c r="Y90" s="387" t="e">
        <f t="shared" ref="Y90:Y99" ca="1" si="8">BE90</f>
        <v>#N/A</v>
      </c>
      <c r="Z90" s="387"/>
      <c r="AA90" s="387"/>
      <c r="AB90" s="387"/>
      <c r="AC90" s="387"/>
      <c r="AD90" s="387" t="e">
        <f t="shared" ref="AD90:AD99" ca="1" si="9">BF90</f>
        <v>#N/A</v>
      </c>
      <c r="AE90" s="387"/>
      <c r="AF90" s="387"/>
      <c r="AG90" s="387"/>
      <c r="AH90" s="387"/>
      <c r="AI90" s="432"/>
      <c r="AJ90" s="432"/>
      <c r="AK90" s="432"/>
      <c r="AL90" s="432"/>
      <c r="AM90" s="432"/>
      <c r="AN90" s="432"/>
      <c r="AO90" s="236"/>
      <c r="AT90" s="249" t="str">
        <f t="shared" si="5"/>
        <v/>
      </c>
      <c r="AU90" s="249" t="str">
        <f t="shared" si="6"/>
        <v/>
      </c>
      <c r="AV90" s="250" t="str">
        <f t="shared" ref="AV90:AV98" si="10">IF(YEAR(M40)=YEAR(R40),"",DATE(YEAR(R40),1,1))</f>
        <v/>
      </c>
      <c r="AW90" s="250" t="str">
        <f t="shared" si="7"/>
        <v/>
      </c>
      <c r="AX90" s="151">
        <f>COUNTA($AV$89:AV89)-COUNTIF($AV$89:AV89,"")</f>
        <v>0</v>
      </c>
      <c r="AZ90" s="288" t="str">
        <f>IF(BA90="","",IF(YEAR(BA90)=days!$I$27,0,1+AZ89))</f>
        <v/>
      </c>
      <c r="BA90" s="287" t="str">
        <f>IF(AV89="",AT90,AV89)</f>
        <v/>
      </c>
      <c r="BB90" s="287" t="str">
        <f>IF($AX89&gt;0,AU89,IF(AND(AW89="",AW90=""),AU90,IF(AW89="",AW90,AU89)))</f>
        <v/>
      </c>
      <c r="BD90" s="143">
        <v>2</v>
      </c>
      <c r="BE90" s="287" t="e">
        <f ca="1">IF(AND(OR($AE$13="France",$AE$13="Thailand"),days!$H$56="YesNo"),IF($BD90&gt;$AZ$102,"",VLOOKUP($BD90,$AZ$89:$BB$101,2,FALSE)),IF(days!$E$3="moving",BA90,IF(days!$I$26="both",BA90,IF($BD90&gt;$AZ$102,"",VLOOKUP($BD90,$AZ$89:$BB$101,2,FALSE)))))</f>
        <v>#N/A</v>
      </c>
      <c r="BF90" s="287" t="e">
        <f ca="1">IF(AND(OR($AE$13="France",$AE$13="Thailand"),days!$H$56="YesNo"),IF($BD90&gt;$AZ$102,"",VLOOKUP($BD90,$AZ$89:$BB$101,3,FALSE)),IF(days!$E$3="moving",BB90,IF(days!$I$26="both",BB90,IF($BD90&gt;$AZ$102,"",VLOOKUP($BD90,$AZ$89:$BB$101,3,FALSE)))))</f>
        <v>#N/A</v>
      </c>
    </row>
    <row r="91" spans="2:58" ht="15.75" x14ac:dyDescent="0.25">
      <c r="B91" s="234"/>
      <c r="C91" s="433"/>
      <c r="D91" s="433"/>
      <c r="E91" s="433"/>
      <c r="F91" s="433"/>
      <c r="G91" s="433"/>
      <c r="H91" s="433"/>
      <c r="I91" s="433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387" t="e">
        <f t="shared" ca="1" si="8"/>
        <v>#N/A</v>
      </c>
      <c r="Z91" s="387"/>
      <c r="AA91" s="387"/>
      <c r="AB91" s="387"/>
      <c r="AC91" s="387"/>
      <c r="AD91" s="387" t="e">
        <f t="shared" ca="1" si="9"/>
        <v>#N/A</v>
      </c>
      <c r="AE91" s="387"/>
      <c r="AF91" s="387"/>
      <c r="AG91" s="387"/>
      <c r="AH91" s="387"/>
      <c r="AI91" s="432"/>
      <c r="AJ91" s="432"/>
      <c r="AK91" s="432"/>
      <c r="AL91" s="432"/>
      <c r="AM91" s="432"/>
      <c r="AN91" s="432"/>
      <c r="AO91" s="236"/>
      <c r="AT91" s="249" t="str">
        <f t="shared" si="5"/>
        <v/>
      </c>
      <c r="AU91" s="249" t="str">
        <f t="shared" si="6"/>
        <v/>
      </c>
      <c r="AV91" s="250" t="str">
        <f t="shared" si="10"/>
        <v/>
      </c>
      <c r="AW91" s="250" t="str">
        <f t="shared" si="7"/>
        <v/>
      </c>
      <c r="AX91" s="151">
        <f>COUNTA($AV$89:AV90)-COUNTIF($AV$89:AV90,"")</f>
        <v>0</v>
      </c>
      <c r="AZ91" s="288" t="str">
        <f>IF(BA91="","",IF(YEAR(BA91)=days!$I$27,0,1+AZ90))</f>
        <v/>
      </c>
      <c r="BA91" s="287" t="str">
        <f>IF($AX90&gt;0,AT90,IF(AV90="",AT91,AV90))</f>
        <v/>
      </c>
      <c r="BB91" s="287" t="str">
        <f>IF($AX90&gt;0,AU90,IF(AND(AW90="",AW91=""),AU91,IF(AW90="",AW91,AU90)))</f>
        <v/>
      </c>
      <c r="BD91" s="143">
        <v>3</v>
      </c>
      <c r="BE91" s="287" t="e">
        <f ca="1">IF(AND(OR($AE$13="France",$AE$13="Thailand"),days!$H$56="YesNo"),IF($BD91&gt;$AZ$102,"",VLOOKUP($BD91,$AZ$89:$BB$101,2,FALSE)),IF(days!$E$3="moving",BA91,IF(days!$I$26="both",BA91,IF($BD91&gt;$AZ$102,"",VLOOKUP($BD91,$AZ$89:$BB$101,2,FALSE)))))</f>
        <v>#N/A</v>
      </c>
      <c r="BF91" s="287" t="e">
        <f ca="1">IF(AND(OR($AE$13="France",$AE$13="Thailand"),days!$H$56="YesNo"),IF($BD91&gt;$AZ$102,"",VLOOKUP($BD91,$AZ$89:$BB$101,3,FALSE)),IF(days!$E$3="moving",BB91,IF(days!$I$26="both",BB91,IF($BD91&gt;$AZ$102,"",VLOOKUP($BD91,$AZ$89:$BB$101,3,FALSE)))))</f>
        <v>#N/A</v>
      </c>
    </row>
    <row r="92" spans="2:58" ht="15.75" x14ac:dyDescent="0.25">
      <c r="B92" s="234"/>
      <c r="C92" s="433"/>
      <c r="D92" s="433"/>
      <c r="E92" s="433"/>
      <c r="F92" s="433"/>
      <c r="G92" s="433"/>
      <c r="H92" s="433"/>
      <c r="I92" s="433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387" t="e">
        <f t="shared" ca="1" si="8"/>
        <v>#N/A</v>
      </c>
      <c r="Z92" s="387"/>
      <c r="AA92" s="387"/>
      <c r="AB92" s="387"/>
      <c r="AC92" s="387"/>
      <c r="AD92" s="387" t="e">
        <f t="shared" ca="1" si="9"/>
        <v>#N/A</v>
      </c>
      <c r="AE92" s="387"/>
      <c r="AF92" s="387"/>
      <c r="AG92" s="387"/>
      <c r="AH92" s="387"/>
      <c r="AI92" s="432"/>
      <c r="AJ92" s="432"/>
      <c r="AK92" s="432"/>
      <c r="AL92" s="432"/>
      <c r="AM92" s="432"/>
      <c r="AN92" s="432"/>
      <c r="AO92" s="236"/>
      <c r="AT92" s="249" t="str">
        <f t="shared" si="5"/>
        <v/>
      </c>
      <c r="AU92" s="249" t="str">
        <f t="shared" si="6"/>
        <v/>
      </c>
      <c r="AV92" s="250" t="str">
        <f t="shared" si="10"/>
        <v/>
      </c>
      <c r="AW92" s="250" t="str">
        <f t="shared" si="7"/>
        <v/>
      </c>
      <c r="AX92" s="151">
        <f>COUNTA($AV$89:AV91)-COUNTIF($AV$89:AV91,"")</f>
        <v>0</v>
      </c>
      <c r="AZ92" s="288" t="str">
        <f>IF(BA92="","",IF(YEAR(BA92)=days!$I$27,0,1+AZ91))</f>
        <v/>
      </c>
      <c r="BA92" s="287" t="str">
        <f t="shared" ref="BA92:BA99" si="11">IF($AX91&gt;0,AT91,IF(AV91="",AT92,AV91))</f>
        <v/>
      </c>
      <c r="BB92" s="287" t="str">
        <f t="shared" ref="BB92:BB99" si="12">IF($AX91&gt;0,AU91,IF(AND(AW91="",AW92=""),AU92,IF(AW91="",AW92,AU91)))</f>
        <v/>
      </c>
      <c r="BD92" s="143">
        <v>4</v>
      </c>
      <c r="BE92" s="287" t="e">
        <f ca="1">IF(AND(OR($AE$13="France",$AE$13="Thailand"),days!$H$56="YesNo"),IF($BD92&gt;$AZ$102,"",VLOOKUP($BD92,$AZ$89:$BB$101,2,FALSE)),IF(days!$E$3="moving",BA92,IF(days!$I$26="both",BA92,IF($BD92&gt;$AZ$102,"",VLOOKUP($BD92,$AZ$89:$BB$101,2,FALSE)))))</f>
        <v>#N/A</v>
      </c>
      <c r="BF92" s="287" t="e">
        <f ca="1">IF(AND(OR($AE$13="France",$AE$13="Thailand"),days!$H$56="YesNo"),IF($BD92&gt;$AZ$102,"",VLOOKUP($BD92,$AZ$89:$BB$101,3,FALSE)),IF(days!$E$3="moving",BB92,IF(days!$I$26="both",BB92,IF($BD92&gt;$AZ$102,"",VLOOKUP($BD92,$AZ$89:$BB$101,3,FALSE)))))</f>
        <v>#N/A</v>
      </c>
    </row>
    <row r="93" spans="2:58" ht="15.75" x14ac:dyDescent="0.25">
      <c r="B93" s="234"/>
      <c r="C93" s="433"/>
      <c r="D93" s="433"/>
      <c r="E93" s="433"/>
      <c r="F93" s="433"/>
      <c r="G93" s="433"/>
      <c r="H93" s="433"/>
      <c r="I93" s="433"/>
      <c r="J93" s="433"/>
      <c r="K93" s="433"/>
      <c r="L93" s="433"/>
      <c r="M93" s="433"/>
      <c r="N93" s="433"/>
      <c r="O93" s="433"/>
      <c r="P93" s="433"/>
      <c r="Q93" s="433"/>
      <c r="R93" s="433"/>
      <c r="S93" s="433"/>
      <c r="T93" s="433"/>
      <c r="U93" s="433"/>
      <c r="V93" s="433"/>
      <c r="W93" s="433"/>
      <c r="X93" s="433"/>
      <c r="Y93" s="387" t="e">
        <f t="shared" ca="1" si="8"/>
        <v>#N/A</v>
      </c>
      <c r="Z93" s="387"/>
      <c r="AA93" s="387"/>
      <c r="AB93" s="387"/>
      <c r="AC93" s="387"/>
      <c r="AD93" s="387" t="e">
        <f t="shared" ca="1" si="9"/>
        <v>#N/A</v>
      </c>
      <c r="AE93" s="387"/>
      <c r="AF93" s="387"/>
      <c r="AG93" s="387"/>
      <c r="AH93" s="387"/>
      <c r="AI93" s="432"/>
      <c r="AJ93" s="432"/>
      <c r="AK93" s="432"/>
      <c r="AL93" s="432"/>
      <c r="AM93" s="432"/>
      <c r="AN93" s="432"/>
      <c r="AO93" s="236"/>
      <c r="AT93" s="249" t="str">
        <f t="shared" si="5"/>
        <v/>
      </c>
      <c r="AU93" s="249" t="str">
        <f t="shared" si="6"/>
        <v/>
      </c>
      <c r="AV93" s="250" t="str">
        <f t="shared" si="10"/>
        <v/>
      </c>
      <c r="AW93" s="250" t="str">
        <f t="shared" si="7"/>
        <v/>
      </c>
      <c r="AX93" s="151">
        <f>COUNTA($AV$89:AV92)-COUNTIF($AV$89:AV92,"")</f>
        <v>0</v>
      </c>
      <c r="AZ93" s="288" t="str">
        <f>IF(BA93="","",IF(YEAR(BA93)=days!$I$27,0,1+AZ92))</f>
        <v/>
      </c>
      <c r="BA93" s="287" t="str">
        <f t="shared" si="11"/>
        <v/>
      </c>
      <c r="BB93" s="287" t="str">
        <f t="shared" si="12"/>
        <v/>
      </c>
      <c r="BD93" s="143">
        <v>5</v>
      </c>
      <c r="BE93" s="287" t="e">
        <f ca="1">IF(AND(OR($AE$13="France",$AE$13="Thailand"),days!$H$56="YesNo"),IF($BD93&gt;$AZ$102,"",VLOOKUP($BD93,$AZ$89:$BB$101,2,FALSE)),IF(days!$E$3="moving",BA93,IF(days!$I$26="both",BA93,IF($BD93&gt;$AZ$102,"",VLOOKUP($BD93,$AZ$89:$BB$101,2,FALSE)))))</f>
        <v>#N/A</v>
      </c>
      <c r="BF93" s="287" t="e">
        <f ca="1">IF(AND(OR($AE$13="France",$AE$13="Thailand"),days!$H$56="YesNo"),IF($BD93&gt;$AZ$102,"",VLOOKUP($BD93,$AZ$89:$BB$101,3,FALSE)),IF(days!$E$3="moving",BB93,IF(days!$I$26="both",BB93,IF($BD93&gt;$AZ$102,"",VLOOKUP($BD93,$AZ$89:$BB$101,3,FALSE)))))</f>
        <v>#N/A</v>
      </c>
    </row>
    <row r="94" spans="2:58" ht="15.75" x14ac:dyDescent="0.25">
      <c r="B94" s="234"/>
      <c r="C94" s="433"/>
      <c r="D94" s="433"/>
      <c r="E94" s="433"/>
      <c r="F94" s="433"/>
      <c r="G94" s="433"/>
      <c r="H94" s="433"/>
      <c r="I94" s="433"/>
      <c r="J94" s="433"/>
      <c r="K94" s="433"/>
      <c r="L94" s="433"/>
      <c r="M94" s="433"/>
      <c r="N94" s="433"/>
      <c r="O94" s="433"/>
      <c r="P94" s="433"/>
      <c r="Q94" s="433"/>
      <c r="R94" s="433"/>
      <c r="S94" s="433"/>
      <c r="T94" s="433"/>
      <c r="U94" s="433"/>
      <c r="V94" s="433"/>
      <c r="W94" s="433"/>
      <c r="X94" s="433"/>
      <c r="Y94" s="387" t="e">
        <f t="shared" ca="1" si="8"/>
        <v>#N/A</v>
      </c>
      <c r="Z94" s="387"/>
      <c r="AA94" s="387"/>
      <c r="AB94" s="387"/>
      <c r="AC94" s="387"/>
      <c r="AD94" s="387" t="e">
        <f t="shared" ca="1" si="9"/>
        <v>#N/A</v>
      </c>
      <c r="AE94" s="387"/>
      <c r="AF94" s="387"/>
      <c r="AG94" s="387"/>
      <c r="AH94" s="387"/>
      <c r="AI94" s="432"/>
      <c r="AJ94" s="432"/>
      <c r="AK94" s="432"/>
      <c r="AL94" s="432"/>
      <c r="AM94" s="432"/>
      <c r="AN94" s="432"/>
      <c r="AO94" s="236"/>
      <c r="AT94" s="249" t="str">
        <f t="shared" si="5"/>
        <v/>
      </c>
      <c r="AU94" s="249" t="str">
        <f t="shared" si="6"/>
        <v/>
      </c>
      <c r="AV94" s="250" t="str">
        <f t="shared" si="10"/>
        <v/>
      </c>
      <c r="AW94" s="250" t="str">
        <f t="shared" si="7"/>
        <v/>
      </c>
      <c r="AX94" s="151">
        <f>COUNTA($AV$89:AV93)-COUNTIF($AV$89:AV93,"")</f>
        <v>0</v>
      </c>
      <c r="AZ94" s="288" t="str">
        <f>IF(BA94="","",IF(YEAR(BA94)=days!$I$27,0,1+AZ93))</f>
        <v/>
      </c>
      <c r="BA94" s="287" t="str">
        <f t="shared" si="11"/>
        <v/>
      </c>
      <c r="BB94" s="287" t="str">
        <f t="shared" si="12"/>
        <v/>
      </c>
      <c r="BD94" s="143">
        <v>6</v>
      </c>
      <c r="BE94" s="287" t="e">
        <f ca="1">IF(AND(OR($AE$13="France",$AE$13="Thailand"),days!$H$56="YesNo"),IF($BD94&gt;$AZ$102,"",VLOOKUP($BD94,$AZ$89:$BB$101,2,FALSE)),IF(days!$E$3="moving",BA94,IF(days!$I$26="both",BA94,IF($BD94&gt;$AZ$102,"",VLOOKUP($BD94,$AZ$89:$BB$101,2,FALSE)))))</f>
        <v>#N/A</v>
      </c>
      <c r="BF94" s="287" t="e">
        <f ca="1">IF(AND(OR($AE$13="France",$AE$13="Thailand"),days!$H$56="YesNo"),IF($BD94&gt;$AZ$102,"",VLOOKUP($BD94,$AZ$89:$BB$101,3,FALSE)),IF(days!$E$3="moving",BB94,IF(days!$I$26="both",BB94,IF($BD94&gt;$AZ$102,"",VLOOKUP($BD94,$AZ$89:$BB$101,3,FALSE)))))</f>
        <v>#N/A</v>
      </c>
    </row>
    <row r="95" spans="2:58" ht="15.75" x14ac:dyDescent="0.25">
      <c r="B95" s="234"/>
      <c r="C95" s="433"/>
      <c r="D95" s="433"/>
      <c r="E95" s="433"/>
      <c r="F95" s="433"/>
      <c r="G95" s="433"/>
      <c r="H95" s="433"/>
      <c r="I95" s="433"/>
      <c r="J95" s="433"/>
      <c r="K95" s="433"/>
      <c r="L95" s="433"/>
      <c r="M95" s="433"/>
      <c r="N95" s="433"/>
      <c r="O95" s="433"/>
      <c r="P95" s="433"/>
      <c r="Q95" s="433"/>
      <c r="R95" s="433"/>
      <c r="S95" s="433"/>
      <c r="T95" s="433"/>
      <c r="U95" s="433"/>
      <c r="V95" s="433"/>
      <c r="W95" s="433"/>
      <c r="X95" s="433"/>
      <c r="Y95" s="387" t="e">
        <f t="shared" ca="1" si="8"/>
        <v>#N/A</v>
      </c>
      <c r="Z95" s="387"/>
      <c r="AA95" s="387"/>
      <c r="AB95" s="387"/>
      <c r="AC95" s="387"/>
      <c r="AD95" s="387" t="e">
        <f t="shared" ca="1" si="9"/>
        <v>#N/A</v>
      </c>
      <c r="AE95" s="387"/>
      <c r="AF95" s="387"/>
      <c r="AG95" s="387"/>
      <c r="AH95" s="387"/>
      <c r="AI95" s="432"/>
      <c r="AJ95" s="432"/>
      <c r="AK95" s="432"/>
      <c r="AL95" s="432"/>
      <c r="AM95" s="432"/>
      <c r="AN95" s="432"/>
      <c r="AO95" s="236"/>
      <c r="AT95" s="249" t="str">
        <f t="shared" si="5"/>
        <v/>
      </c>
      <c r="AU95" s="249" t="str">
        <f t="shared" si="6"/>
        <v/>
      </c>
      <c r="AV95" s="250" t="str">
        <f t="shared" si="10"/>
        <v/>
      </c>
      <c r="AW95" s="250" t="str">
        <f t="shared" si="7"/>
        <v/>
      </c>
      <c r="AX95" s="151">
        <f>COUNTA($AV$89:AV94)-COUNTIF($AV$89:AV94,"")</f>
        <v>0</v>
      </c>
      <c r="AZ95" s="288" t="str">
        <f>IF(BA95="","",IF(YEAR(BA95)=days!$I$27,0,1+AZ94))</f>
        <v/>
      </c>
      <c r="BA95" s="287" t="str">
        <f t="shared" si="11"/>
        <v/>
      </c>
      <c r="BB95" s="287" t="str">
        <f t="shared" si="12"/>
        <v/>
      </c>
      <c r="BD95" s="143">
        <v>7</v>
      </c>
      <c r="BE95" s="287" t="e">
        <f ca="1">IF(AND(OR($AE$13="France",$AE$13="Thailand"),days!$H$56="YesNo"),IF($BD95&gt;$AZ$102,"",VLOOKUP($BD95,$AZ$89:$BB$101,2,FALSE)),IF(days!$E$3="moving",BA95,IF(days!$I$26="both",BA95,IF($BD95&gt;$AZ$102,"",VLOOKUP($BD95,$AZ$89:$BB$101,2,FALSE)))))</f>
        <v>#N/A</v>
      </c>
      <c r="BF95" s="287" t="e">
        <f ca="1">IF(AND(OR($AE$13="France",$AE$13="Thailand"),days!$H$56="YesNo"),IF($BD95&gt;$AZ$102,"",VLOOKUP($BD95,$AZ$89:$BB$101,3,FALSE)),IF(days!$E$3="moving",BB95,IF(days!$I$26="both",BB95,IF($BD95&gt;$AZ$102,"",VLOOKUP($BD95,$AZ$89:$BB$101,3,FALSE)))))</f>
        <v>#N/A</v>
      </c>
    </row>
    <row r="96" spans="2:58" ht="15.75" x14ac:dyDescent="0.25">
      <c r="B96" s="234"/>
      <c r="C96" s="433"/>
      <c r="D96" s="433"/>
      <c r="E96" s="433"/>
      <c r="F96" s="433"/>
      <c r="G96" s="433"/>
      <c r="H96" s="433"/>
      <c r="I96" s="433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387" t="e">
        <f t="shared" ca="1" si="8"/>
        <v>#N/A</v>
      </c>
      <c r="Z96" s="387"/>
      <c r="AA96" s="387"/>
      <c r="AB96" s="387"/>
      <c r="AC96" s="387"/>
      <c r="AD96" s="387" t="e">
        <f t="shared" ca="1" si="9"/>
        <v>#N/A</v>
      </c>
      <c r="AE96" s="387"/>
      <c r="AF96" s="387"/>
      <c r="AG96" s="387"/>
      <c r="AH96" s="387"/>
      <c r="AI96" s="432"/>
      <c r="AJ96" s="432"/>
      <c r="AK96" s="432"/>
      <c r="AL96" s="432"/>
      <c r="AM96" s="432"/>
      <c r="AN96" s="432"/>
      <c r="AO96" s="236"/>
      <c r="AT96" s="249" t="str">
        <f t="shared" si="5"/>
        <v/>
      </c>
      <c r="AU96" s="249" t="str">
        <f t="shared" si="6"/>
        <v/>
      </c>
      <c r="AV96" s="250" t="str">
        <f t="shared" si="10"/>
        <v/>
      </c>
      <c r="AW96" s="250" t="str">
        <f t="shared" si="7"/>
        <v/>
      </c>
      <c r="AX96" s="151">
        <f>COUNTA($AV$89:AV95)-COUNTIF($AV$89:AV95,"")</f>
        <v>0</v>
      </c>
      <c r="AZ96" s="288" t="str">
        <f>IF(BA96="","",IF(YEAR(BA96)=days!$I$27,0,1+AZ95))</f>
        <v/>
      </c>
      <c r="BA96" s="287" t="str">
        <f t="shared" si="11"/>
        <v/>
      </c>
      <c r="BB96" s="287" t="str">
        <f t="shared" si="12"/>
        <v/>
      </c>
      <c r="BD96" s="143">
        <v>8</v>
      </c>
      <c r="BE96" s="287" t="e">
        <f ca="1">IF(AND(OR($AE$13="France",$AE$13="Thailand"),days!$H$56="YesNo"),IF($BD96&gt;$AZ$102,"",VLOOKUP($BD96,$AZ$89:$BB$101,2,FALSE)),IF(days!$E$3="moving",BA96,IF(days!$I$26="both",BA96,IF($BD96&gt;$AZ$102,"",VLOOKUP($BD96,$AZ$89:$BB$101,2,FALSE)))))</f>
        <v>#N/A</v>
      </c>
      <c r="BF96" s="287" t="e">
        <f ca="1">IF(AND(OR($AE$13="France",$AE$13="Thailand"),days!$H$56="YesNo"),IF($BD96&gt;$AZ$102,"",VLOOKUP($BD96,$AZ$89:$BB$101,3,FALSE)),IF(days!$E$3="moving",BB96,IF(days!$I$26="both",BB96,IF($BD96&gt;$AZ$102,"",VLOOKUP($BD96,$AZ$89:$BB$101,3,FALSE)))))</f>
        <v>#N/A</v>
      </c>
    </row>
    <row r="97" spans="2:58" ht="15.75" x14ac:dyDescent="0.25">
      <c r="B97" s="234"/>
      <c r="C97" s="433"/>
      <c r="D97" s="433"/>
      <c r="E97" s="433"/>
      <c r="F97" s="433"/>
      <c r="G97" s="433"/>
      <c r="H97" s="433"/>
      <c r="I97" s="433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/>
      <c r="W97" s="433"/>
      <c r="X97" s="433"/>
      <c r="Y97" s="387" t="e">
        <f t="shared" ca="1" si="8"/>
        <v>#N/A</v>
      </c>
      <c r="Z97" s="387"/>
      <c r="AA97" s="387"/>
      <c r="AB97" s="387"/>
      <c r="AC97" s="387"/>
      <c r="AD97" s="387" t="e">
        <f t="shared" ca="1" si="9"/>
        <v>#N/A</v>
      </c>
      <c r="AE97" s="387"/>
      <c r="AF97" s="387"/>
      <c r="AG97" s="387"/>
      <c r="AH97" s="387"/>
      <c r="AI97" s="432"/>
      <c r="AJ97" s="432"/>
      <c r="AK97" s="432"/>
      <c r="AL97" s="432"/>
      <c r="AM97" s="432"/>
      <c r="AN97" s="432"/>
      <c r="AO97" s="236"/>
      <c r="AT97" s="249" t="str">
        <f t="shared" si="5"/>
        <v/>
      </c>
      <c r="AU97" s="249" t="str">
        <f t="shared" si="6"/>
        <v/>
      </c>
      <c r="AV97" s="250" t="str">
        <f t="shared" si="10"/>
        <v/>
      </c>
      <c r="AW97" s="250" t="str">
        <f t="shared" si="7"/>
        <v/>
      </c>
      <c r="AX97" s="151">
        <f>COUNTA($AV$89:AV96)-COUNTIF($AV$89:AV96,"")</f>
        <v>0</v>
      </c>
      <c r="AZ97" s="288" t="str">
        <f>IF(BA97="","",IF(YEAR(BA97)=days!$I$27,0,1+AZ96))</f>
        <v/>
      </c>
      <c r="BA97" s="287" t="str">
        <f t="shared" si="11"/>
        <v/>
      </c>
      <c r="BB97" s="287" t="str">
        <f t="shared" si="12"/>
        <v/>
      </c>
      <c r="BD97" s="143">
        <v>9</v>
      </c>
      <c r="BE97" s="287" t="e">
        <f ca="1">IF(AND(OR($AE$13="France",$AE$13="Thailand"),days!$H$56="YesNo"),IF($BD97&gt;$AZ$102,"",VLOOKUP($BD97,$AZ$89:$BB$101,2,FALSE)),IF(days!$E$3="moving",BA97,IF(days!$I$26="both",BA97,IF($BD97&gt;$AZ$102,"",VLOOKUP($BD97,$AZ$89:$BB$101,2,FALSE)))))</f>
        <v>#N/A</v>
      </c>
      <c r="BF97" s="287" t="e">
        <f ca="1">IF(AND(OR($AE$13="France",$AE$13="Thailand"),days!$H$56="YesNo"),IF($BD97&gt;$AZ$102,"",VLOOKUP($BD97,$AZ$89:$BB$101,3,FALSE)),IF(days!$E$3="moving",BB97,IF(days!$I$26="both",BB97,IF($BD97&gt;$AZ$102,"",VLOOKUP($BD97,$AZ$89:$BB$101,3,FALSE)))))</f>
        <v>#N/A</v>
      </c>
    </row>
    <row r="98" spans="2:58" ht="15.75" x14ac:dyDescent="0.25">
      <c r="B98" s="234"/>
      <c r="C98" s="433"/>
      <c r="D98" s="433"/>
      <c r="E98" s="433"/>
      <c r="F98" s="433"/>
      <c r="G98" s="433"/>
      <c r="H98" s="433"/>
      <c r="I98" s="433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387" t="e">
        <f t="shared" ca="1" si="8"/>
        <v>#N/A</v>
      </c>
      <c r="Z98" s="387"/>
      <c r="AA98" s="387"/>
      <c r="AB98" s="387"/>
      <c r="AC98" s="387"/>
      <c r="AD98" s="387" t="e">
        <f t="shared" ca="1" si="9"/>
        <v>#N/A</v>
      </c>
      <c r="AE98" s="387"/>
      <c r="AF98" s="387"/>
      <c r="AG98" s="387"/>
      <c r="AH98" s="387"/>
      <c r="AI98" s="432"/>
      <c r="AJ98" s="432"/>
      <c r="AK98" s="432"/>
      <c r="AL98" s="432"/>
      <c r="AM98" s="432"/>
      <c r="AN98" s="432"/>
      <c r="AO98" s="236"/>
      <c r="AT98" s="249" t="str">
        <f t="shared" si="5"/>
        <v/>
      </c>
      <c r="AU98" s="249" t="str">
        <f t="shared" si="6"/>
        <v/>
      </c>
      <c r="AV98" s="250" t="str">
        <f t="shared" si="10"/>
        <v/>
      </c>
      <c r="AW98" s="250" t="str">
        <f t="shared" si="7"/>
        <v/>
      </c>
      <c r="AX98" s="151">
        <f>COUNTA($AV$89:AV97)-COUNTIF($AV$89:AV97,"")</f>
        <v>0</v>
      </c>
      <c r="AZ98" s="288" t="str">
        <f>IF(BA98="","",IF(YEAR(BA98)=days!$I$27,0,1+AZ97))</f>
        <v/>
      </c>
      <c r="BA98" s="287" t="str">
        <f t="shared" si="11"/>
        <v/>
      </c>
      <c r="BB98" s="287" t="str">
        <f t="shared" si="12"/>
        <v/>
      </c>
      <c r="BD98" s="143">
        <v>10</v>
      </c>
      <c r="BE98" s="287" t="e">
        <f ca="1">IF(AND(OR($AE$13="France",$AE$13="Thailand"),days!$H$56="YesNo"),IF($BD98&gt;$AZ$102,"",VLOOKUP($BD98,$AZ$89:$BB$101,2,FALSE)),IF(days!$E$3="moving",BA98,IF(days!$I$26="both",BA98,IF($BD98&gt;$AZ$102,"",VLOOKUP($BD98,$AZ$89:$BB$101,2,FALSE)))))</f>
        <v>#N/A</v>
      </c>
      <c r="BF98" s="287" t="e">
        <f ca="1">IF(AND(OR($AE$13="France",$AE$13="Thailand"),days!$H$56="YesNo"),IF($BD98&gt;$AZ$102,"",VLOOKUP($BD98,$AZ$89:$BB$101,3,FALSE)),IF(days!$E$3="moving",BB98,IF(days!$I$26="both",BB98,IF($BD98&gt;$AZ$102,"",VLOOKUP($BD98,$AZ$89:$BB$101,3,FALSE)))))</f>
        <v>#N/A</v>
      </c>
    </row>
    <row r="99" spans="2:58" ht="15.75" x14ac:dyDescent="0.25">
      <c r="B99" s="234"/>
      <c r="C99" s="433"/>
      <c r="D99" s="433"/>
      <c r="E99" s="433"/>
      <c r="F99" s="433"/>
      <c r="G99" s="433"/>
      <c r="H99" s="433"/>
      <c r="I99" s="433"/>
      <c r="J99" s="433"/>
      <c r="K99" s="433"/>
      <c r="L99" s="433"/>
      <c r="M99" s="433"/>
      <c r="N99" s="433"/>
      <c r="O99" s="433"/>
      <c r="P99" s="433"/>
      <c r="Q99" s="433"/>
      <c r="R99" s="433"/>
      <c r="S99" s="433"/>
      <c r="T99" s="433"/>
      <c r="U99" s="433"/>
      <c r="V99" s="433"/>
      <c r="W99" s="433"/>
      <c r="X99" s="433"/>
      <c r="Y99" s="387" t="e">
        <f t="shared" ca="1" si="8"/>
        <v>#N/A</v>
      </c>
      <c r="Z99" s="387"/>
      <c r="AA99" s="387"/>
      <c r="AB99" s="387"/>
      <c r="AC99" s="387"/>
      <c r="AD99" s="387" t="e">
        <f t="shared" ca="1" si="9"/>
        <v>#N/A</v>
      </c>
      <c r="AE99" s="387"/>
      <c r="AF99" s="387"/>
      <c r="AG99" s="387"/>
      <c r="AH99" s="387"/>
      <c r="AI99" s="432"/>
      <c r="AJ99" s="432"/>
      <c r="AK99" s="432"/>
      <c r="AL99" s="432"/>
      <c r="AM99" s="432"/>
      <c r="AN99" s="432"/>
      <c r="AO99" s="236"/>
      <c r="AT99" s="249" t="str">
        <f>IF(M49="","",M49)</f>
        <v/>
      </c>
      <c r="AU99" s="249" t="str">
        <f>IF(R49="","",R49)</f>
        <v/>
      </c>
      <c r="AV99" s="250" t="str">
        <f>IF(YEAR(M49)=YEAR(R49),"",DATE(YEAR(R49),1,1))</f>
        <v/>
      </c>
      <c r="AW99" s="250" t="str">
        <f>IF(YEAR(M49)=YEAR(R49),"",DATE(YEAR(M49),12,31))</f>
        <v/>
      </c>
      <c r="AX99" s="151">
        <f>COUNTA($AV$89:AV98)-COUNTIF($AV$89:AV98,"")</f>
        <v>0</v>
      </c>
      <c r="AZ99" s="288" t="str">
        <f>IF(BA99="","",IF(YEAR(BA99)=days!$I$27,0,1+AZ98))</f>
        <v/>
      </c>
      <c r="BA99" s="287" t="str">
        <f t="shared" si="11"/>
        <v/>
      </c>
      <c r="BB99" s="287" t="str">
        <f t="shared" si="12"/>
        <v/>
      </c>
      <c r="BD99" s="143">
        <v>11</v>
      </c>
      <c r="BE99" s="287" t="e">
        <f ca="1">IF(AND(OR($AE$13="France",$AE$13="Thailand"),days!$H$56="YesNo"),IF($BD99&gt;$AZ$102,"",VLOOKUP($BD99,$AZ$89:$BB$101,2,FALSE)),IF(days!$E$3="moving",BA99,IF(days!$I$26="both",BA99,IF($BD99&gt;$AZ$102,"",VLOOKUP($BD99,$AZ$89:$BB$101,2,FALSE)))))</f>
        <v>#N/A</v>
      </c>
      <c r="BF99" s="287" t="e">
        <f ca="1">IF(AND(OR($AE$13="France",$AE$13="Thailand"),days!$H$56="YesNo"),IF($BD99&gt;$AZ$102,"",VLOOKUP($BD99,$AZ$89:$BB$101,3,FALSE)),IF(days!$E$3="moving",BB99,IF(days!$I$26="both",BB99,IF($BD99&gt;$AZ$102,"",VLOOKUP($BD99,$AZ$89:$BB$101,3,FALSE)))))</f>
        <v>#N/A</v>
      </c>
    </row>
    <row r="100" spans="2:58" ht="15.75" x14ac:dyDescent="0.25">
      <c r="B100" s="234"/>
      <c r="C100" s="433"/>
      <c r="D100" s="433"/>
      <c r="E100" s="433"/>
      <c r="F100" s="433"/>
      <c r="G100" s="433"/>
      <c r="H100" s="433"/>
      <c r="I100" s="433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/>
      <c r="T100" s="433"/>
      <c r="U100" s="433"/>
      <c r="V100" s="433"/>
      <c r="W100" s="433"/>
      <c r="X100" s="433"/>
      <c r="Y100" s="387" t="e">
        <f ca="1">BE100</f>
        <v>#N/A</v>
      </c>
      <c r="Z100" s="387"/>
      <c r="AA100" s="387"/>
      <c r="AB100" s="387"/>
      <c r="AC100" s="387"/>
      <c r="AD100" s="387" t="e">
        <f ca="1">BF100</f>
        <v>#N/A</v>
      </c>
      <c r="AE100" s="387"/>
      <c r="AF100" s="387"/>
      <c r="AG100" s="387"/>
      <c r="AH100" s="387"/>
      <c r="AI100" s="432"/>
      <c r="AJ100" s="432"/>
      <c r="AK100" s="432"/>
      <c r="AL100" s="432"/>
      <c r="AM100" s="432"/>
      <c r="AN100" s="432"/>
      <c r="AO100" s="236"/>
      <c r="AT100" s="249" t="str">
        <f>IF(M50="","",M50)</f>
        <v/>
      </c>
      <c r="AU100" s="249" t="str">
        <f>IF(R50="","",R50)</f>
        <v/>
      </c>
      <c r="AV100" s="250" t="str">
        <f>IF(YEAR(M50)=YEAR(R50),"",DATE(YEAR(R50),1,1))</f>
        <v/>
      </c>
      <c r="AW100" s="250" t="str">
        <f>IF(YEAR(M50)=YEAR(R50),"",DATE(YEAR(M50),12,31))</f>
        <v/>
      </c>
      <c r="AX100" s="151">
        <f>COUNTA($AV$89:AV99)-COUNTIF($AV$89:AV99,"")</f>
        <v>0</v>
      </c>
      <c r="AZ100" s="288" t="str">
        <f>IF(BA100="","",IF(YEAR(BA100)=days!$I$27,0,1+AZ99))</f>
        <v/>
      </c>
      <c r="BA100" s="287" t="str">
        <f>IF($AX99&gt;0,AT99,IF(AV99="",AT100,AV99))</f>
        <v/>
      </c>
      <c r="BB100" s="287" t="str">
        <f>IF($AX99&gt;0,AU99,IF(AND(AW99="",AW100=""),AU100,IF(AW99="",AW100,AU99)))</f>
        <v/>
      </c>
      <c r="BD100" s="143">
        <v>12</v>
      </c>
      <c r="BE100" s="287" t="e">
        <f ca="1">IF(AND(OR($AE$13="France",$AE$13="Thailand"),days!$H$56="YesNo"),IF($BD100&gt;$AZ$102,"",VLOOKUP($BD100,$AZ$89:$BB$101,2,FALSE)),IF(days!$E$3="moving",BA100,IF(days!$I$26="both",BA100,IF($BD100&gt;$AZ$102,"",VLOOKUP($BD100,$AZ$89:$BB$101,2,FALSE)))))</f>
        <v>#N/A</v>
      </c>
      <c r="BF100" s="287" t="e">
        <f ca="1">IF(AND(OR($AE$13="France",$AE$13="Thailand"),days!$H$56="YesNo"),IF($BD100&gt;$AZ$102,"",VLOOKUP($BD100,$AZ$89:$BB$101,3,FALSE)),IF(days!$E$3="moving",BB100,IF(days!$I$26="both",BB100,IF($BD100&gt;$AZ$102,"",VLOOKUP($BD100,$AZ$89:$BB$101,3,FALSE)))))</f>
        <v>#N/A</v>
      </c>
    </row>
    <row r="101" spans="2:58" ht="15.75" x14ac:dyDescent="0.25">
      <c r="B101" s="234"/>
      <c r="C101" s="434"/>
      <c r="D101" s="434"/>
      <c r="E101" s="434"/>
      <c r="F101" s="434"/>
      <c r="G101" s="434"/>
      <c r="H101" s="434"/>
      <c r="I101" s="434"/>
      <c r="J101" s="434"/>
      <c r="K101" s="434"/>
      <c r="L101" s="434"/>
      <c r="M101" s="434"/>
      <c r="N101" s="434"/>
      <c r="O101" s="434"/>
      <c r="P101" s="434"/>
      <c r="Q101" s="434"/>
      <c r="R101" s="434"/>
      <c r="S101" s="434"/>
      <c r="T101" s="434"/>
      <c r="U101" s="434"/>
      <c r="V101" s="434"/>
      <c r="W101" s="434"/>
      <c r="X101" s="434"/>
      <c r="Y101" s="387" t="e">
        <f ca="1">BE101</f>
        <v>#N/A</v>
      </c>
      <c r="Z101" s="387"/>
      <c r="AA101" s="387"/>
      <c r="AB101" s="387"/>
      <c r="AC101" s="387"/>
      <c r="AD101" s="387" t="e">
        <f ca="1">BF101</f>
        <v>#N/A</v>
      </c>
      <c r="AE101" s="387"/>
      <c r="AF101" s="387"/>
      <c r="AG101" s="387"/>
      <c r="AH101" s="387"/>
      <c r="AI101" s="432"/>
      <c r="AJ101" s="432"/>
      <c r="AK101" s="432"/>
      <c r="AL101" s="432"/>
      <c r="AM101" s="432"/>
      <c r="AN101" s="432"/>
      <c r="AO101" s="236"/>
      <c r="AT101" s="249" t="str">
        <f>""</f>
        <v/>
      </c>
      <c r="AU101" s="249" t="str">
        <f>""</f>
        <v/>
      </c>
      <c r="AV101" s="249" t="str">
        <f>""</f>
        <v/>
      </c>
      <c r="AW101" s="249" t="str">
        <f>""</f>
        <v/>
      </c>
      <c r="AX101" s="151">
        <f>COUNTA($AV$89:AV100)-COUNTIF($AV$89:AV100,"")</f>
        <v>0</v>
      </c>
      <c r="AZ101" s="288" t="str">
        <f>IF(BA101="","",IF(YEAR(BA101)=days!$I$27,0,1+AZ100))</f>
        <v/>
      </c>
      <c r="BA101" s="287" t="str">
        <f>IF($AX100&gt;0,AT100,IF(AV100="",AT101,AV100))</f>
        <v/>
      </c>
      <c r="BB101" s="287" t="str">
        <f>IF($AX100&gt;0,AU100,IF(AND(AW100="",AW101=""),AU101,IF(AW100="",AW101,AU100)))</f>
        <v/>
      </c>
      <c r="BD101" s="143">
        <v>13</v>
      </c>
      <c r="BE101" s="287" t="e">
        <f ca="1">IF(AND(OR($AE$13="France",$AE$13="Thailand"),days!$H$56="YesNo"),IF($BD101&gt;$AZ$102,"",VLOOKUP($BD101,$AZ$89:$BB$101,2,FALSE)),IF(days!$E$3="moving",BA101,IF(days!$I$26="both",BA101,IF($BD101&gt;$AZ$102,"",VLOOKUP($BD101,$AZ$89:$BB$101,2,FALSE)))))</f>
        <v>#N/A</v>
      </c>
      <c r="BF101" s="287" t="e">
        <f ca="1">IF(AND(OR($AE$13="France",$AE$13="Thailand"),days!$H$56="YesNo"),IF($BD101&gt;$AZ$102,"",VLOOKUP($BD101,$AZ$89:$BB$101,3,FALSE)),IF(days!$E$3="moving",BB101,IF(days!$I$26="both",BB101,IF($BD101&gt;$AZ$102,"",VLOOKUP($BD101,$AZ$89:$BB$101,3,FALSE)))))</f>
        <v>#N/A</v>
      </c>
    </row>
    <row r="102" spans="2:58" ht="15.75" x14ac:dyDescent="0.25">
      <c r="B102" s="234"/>
      <c r="C102" s="58"/>
      <c r="D102" s="217"/>
      <c r="E102" s="217"/>
      <c r="F102" s="217"/>
      <c r="G102" s="217"/>
      <c r="H102" s="58"/>
      <c r="I102" s="58"/>
      <c r="J102" s="58"/>
      <c r="K102" s="215"/>
      <c r="L102" s="216"/>
      <c r="AO102" s="236"/>
      <c r="AZ102" s="143">
        <f>MAX(AZ89:AZ101)</f>
        <v>0</v>
      </c>
    </row>
    <row r="103" spans="2:58" ht="15.75" x14ac:dyDescent="0.25">
      <c r="B103" s="234"/>
      <c r="C103" s="411" t="str">
        <f>calcNresults!C87</f>
        <v>I declare that:-</v>
      </c>
      <c r="D103" s="411"/>
      <c r="E103" s="411"/>
      <c r="F103" s="411"/>
      <c r="G103" s="411"/>
      <c r="H103" s="411"/>
      <c r="I103" s="411"/>
      <c r="J103" s="411"/>
      <c r="K103" s="411"/>
      <c r="L103" s="411"/>
      <c r="M103" s="411"/>
      <c r="N103" s="411"/>
      <c r="O103" s="411"/>
      <c r="P103" s="411"/>
      <c r="Q103" s="411"/>
      <c r="R103" s="411"/>
      <c r="S103" s="411"/>
      <c r="T103" s="411"/>
      <c r="U103" s="411"/>
      <c r="V103" s="411"/>
      <c r="W103" s="411"/>
      <c r="X103" s="411"/>
      <c r="Y103" s="411"/>
      <c r="Z103" s="411"/>
      <c r="AA103" s="411"/>
      <c r="AB103" s="411"/>
      <c r="AC103" s="411"/>
      <c r="AD103" s="411"/>
      <c r="AE103" s="411"/>
      <c r="AF103" s="411"/>
      <c r="AG103" s="411"/>
      <c r="AH103" s="411"/>
      <c r="AI103" s="411"/>
      <c r="AJ103" s="411"/>
      <c r="AK103" s="411"/>
      <c r="AL103" s="411"/>
      <c r="AM103" s="411"/>
      <c r="AN103" s="411"/>
      <c r="AO103" s="236"/>
    </row>
    <row r="104" spans="2:58" ht="32.85" customHeight="1" x14ac:dyDescent="0.25">
      <c r="B104" s="234"/>
      <c r="C104" s="392" t="e">
        <f>IF(E104="","","(a) ")</f>
        <v>#N/A</v>
      </c>
      <c r="D104" s="392"/>
      <c r="E104" s="413" t="e">
        <f>calcNresults!C88</f>
        <v>#N/A</v>
      </c>
      <c r="F104" s="413"/>
      <c r="G104" s="413"/>
      <c r="H104" s="413"/>
      <c r="I104" s="413"/>
      <c r="J104" s="413"/>
      <c r="K104" s="413"/>
      <c r="L104" s="413"/>
      <c r="M104" s="413"/>
      <c r="N104" s="413"/>
      <c r="O104" s="413"/>
      <c r="P104" s="413"/>
      <c r="Q104" s="413"/>
      <c r="R104" s="413"/>
      <c r="S104" s="413"/>
      <c r="T104" s="413"/>
      <c r="U104" s="413"/>
      <c r="V104" s="413"/>
      <c r="W104" s="413"/>
      <c r="X104" s="413"/>
      <c r="Y104" s="413"/>
      <c r="Z104" s="413"/>
      <c r="AA104" s="413"/>
      <c r="AB104" s="413"/>
      <c r="AC104" s="413"/>
      <c r="AD104" s="413"/>
      <c r="AE104" s="413"/>
      <c r="AF104" s="413"/>
      <c r="AG104" s="413"/>
      <c r="AH104" s="413"/>
      <c r="AI104" s="413"/>
      <c r="AJ104" s="413"/>
      <c r="AK104" s="413"/>
      <c r="AL104" s="413"/>
      <c r="AM104" s="413"/>
      <c r="AN104" s="413"/>
      <c r="AO104" s="236"/>
    </row>
    <row r="105" spans="2:58" ht="32.25" customHeight="1" x14ac:dyDescent="0.25">
      <c r="B105" s="234"/>
      <c r="C105" s="392" t="e">
        <f>IF(E105="","","(b) ")</f>
        <v>#N/A</v>
      </c>
      <c r="D105" s="392"/>
      <c r="E105" s="413" t="e">
        <f>calcNresults!C89</f>
        <v>#N/A</v>
      </c>
      <c r="F105" s="413"/>
      <c r="G105" s="413"/>
      <c r="H105" s="413"/>
      <c r="I105" s="413"/>
      <c r="J105" s="413"/>
      <c r="K105" s="413"/>
      <c r="L105" s="413"/>
      <c r="M105" s="413"/>
      <c r="N105" s="413"/>
      <c r="O105" s="413"/>
      <c r="P105" s="413"/>
      <c r="Q105" s="413"/>
      <c r="R105" s="413"/>
      <c r="S105" s="413"/>
      <c r="T105" s="413"/>
      <c r="U105" s="413"/>
      <c r="V105" s="413"/>
      <c r="W105" s="413"/>
      <c r="X105" s="413"/>
      <c r="Y105" s="413"/>
      <c r="Z105" s="413"/>
      <c r="AA105" s="413"/>
      <c r="AB105" s="413"/>
      <c r="AC105" s="413"/>
      <c r="AD105" s="413"/>
      <c r="AE105" s="413"/>
      <c r="AF105" s="413"/>
      <c r="AG105" s="413"/>
      <c r="AH105" s="413"/>
      <c r="AI105" s="413"/>
      <c r="AJ105" s="413"/>
      <c r="AK105" s="413"/>
      <c r="AL105" s="413"/>
      <c r="AM105" s="413"/>
      <c r="AN105" s="413"/>
      <c r="AO105" s="236"/>
    </row>
    <row r="106" spans="2:58" ht="31.5" customHeight="1" x14ac:dyDescent="0.25">
      <c r="B106" s="234"/>
      <c r="C106" s="392" t="e">
        <f>IF(E106="","","(c) ")</f>
        <v>#N/A</v>
      </c>
      <c r="D106" s="392"/>
      <c r="E106" s="413" t="e">
        <f>calcNresults!C90</f>
        <v>#N/A</v>
      </c>
      <c r="F106" s="413"/>
      <c r="G106" s="413"/>
      <c r="H106" s="413"/>
      <c r="I106" s="413"/>
      <c r="J106" s="413"/>
      <c r="K106" s="413"/>
      <c r="L106" s="413"/>
      <c r="M106" s="413"/>
      <c r="N106" s="413"/>
      <c r="O106" s="413"/>
      <c r="P106" s="413"/>
      <c r="Q106" s="413"/>
      <c r="R106" s="413"/>
      <c r="S106" s="413"/>
      <c r="T106" s="413"/>
      <c r="U106" s="413"/>
      <c r="V106" s="413"/>
      <c r="W106" s="413"/>
      <c r="X106" s="413"/>
      <c r="Y106" s="413"/>
      <c r="Z106" s="413"/>
      <c r="AA106" s="413"/>
      <c r="AB106" s="413"/>
      <c r="AC106" s="413"/>
      <c r="AD106" s="413"/>
      <c r="AE106" s="413"/>
      <c r="AF106" s="413"/>
      <c r="AG106" s="413"/>
      <c r="AH106" s="413"/>
      <c r="AI106" s="413"/>
      <c r="AJ106" s="413"/>
      <c r="AK106" s="413"/>
      <c r="AL106" s="413"/>
      <c r="AM106" s="413"/>
      <c r="AN106" s="413"/>
      <c r="AO106" s="236"/>
    </row>
    <row r="107" spans="2:58" ht="31.5" customHeight="1" x14ac:dyDescent="0.25">
      <c r="B107" s="234"/>
      <c r="C107" s="392" t="e">
        <f ca="1">IF(E107="","","(d) ")</f>
        <v>#N/A</v>
      </c>
      <c r="D107" s="392"/>
      <c r="E107" s="413" t="e">
        <f ca="1">calcNresults!C91</f>
        <v>#N/A</v>
      </c>
      <c r="F107" s="413"/>
      <c r="G107" s="413"/>
      <c r="H107" s="413"/>
      <c r="I107" s="413"/>
      <c r="J107" s="413"/>
      <c r="K107" s="413"/>
      <c r="L107" s="413"/>
      <c r="M107" s="413"/>
      <c r="N107" s="413"/>
      <c r="O107" s="413"/>
      <c r="P107" s="413"/>
      <c r="Q107" s="413"/>
      <c r="R107" s="413"/>
      <c r="S107" s="413"/>
      <c r="T107" s="413"/>
      <c r="U107" s="413"/>
      <c r="V107" s="413"/>
      <c r="W107" s="413"/>
      <c r="X107" s="413"/>
      <c r="Y107" s="413"/>
      <c r="Z107" s="413"/>
      <c r="AA107" s="413"/>
      <c r="AB107" s="413"/>
      <c r="AC107" s="413"/>
      <c r="AD107" s="413"/>
      <c r="AE107" s="413"/>
      <c r="AF107" s="413"/>
      <c r="AG107" s="413"/>
      <c r="AH107" s="413"/>
      <c r="AI107" s="413"/>
      <c r="AJ107" s="413"/>
      <c r="AK107" s="413"/>
      <c r="AL107" s="413"/>
      <c r="AM107" s="413"/>
      <c r="AN107" s="413"/>
      <c r="AO107" s="236"/>
    </row>
    <row r="108" spans="2:58" ht="15.75" x14ac:dyDescent="0.25">
      <c r="B108" s="234"/>
      <c r="C108" s="58"/>
      <c r="D108" s="217"/>
      <c r="E108" s="217"/>
      <c r="F108" s="217"/>
      <c r="G108" s="217"/>
      <c r="H108" s="58"/>
      <c r="I108" s="58"/>
      <c r="J108" s="58"/>
      <c r="K108" s="215"/>
      <c r="L108" s="216"/>
      <c r="AO108" s="236"/>
    </row>
    <row r="109" spans="2:58" ht="15.75" x14ac:dyDescent="0.25">
      <c r="B109" s="234"/>
      <c r="C109" s="58" t="s">
        <v>57</v>
      </c>
      <c r="D109" s="412" t="str">
        <f>IF(I79="","",PROPER(I79))</f>
        <v/>
      </c>
      <c r="E109" s="412"/>
      <c r="F109" s="412"/>
      <c r="G109" s="412"/>
      <c r="H109" s="412"/>
      <c r="I109" s="412"/>
      <c r="J109" s="412"/>
      <c r="K109" s="412"/>
      <c r="L109" s="412"/>
      <c r="M109" s="412"/>
      <c r="N109" s="412"/>
      <c r="O109" s="412"/>
      <c r="P109" s="412"/>
      <c r="Q109" s="412"/>
      <c r="R109" s="412"/>
      <c r="S109" s="58" t="s">
        <v>58</v>
      </c>
      <c r="AO109" s="236"/>
    </row>
    <row r="110" spans="2:58" ht="15.95" customHeight="1" x14ac:dyDescent="0.25">
      <c r="B110" s="234"/>
      <c r="C110" s="206" t="s">
        <v>59</v>
      </c>
      <c r="D110" s="251"/>
      <c r="E110" s="251"/>
      <c r="F110" s="251"/>
      <c r="G110" s="251"/>
      <c r="H110" s="251"/>
      <c r="I110" s="251"/>
      <c r="J110" s="251"/>
      <c r="K110" s="251"/>
      <c r="L110" s="251"/>
      <c r="M110" s="251"/>
      <c r="N110" s="251"/>
      <c r="O110" s="251"/>
      <c r="P110" s="251"/>
      <c r="Q110" s="251"/>
      <c r="R110" s="251"/>
      <c r="S110" s="251"/>
      <c r="T110" s="251"/>
      <c r="U110" s="251"/>
      <c r="V110" s="251"/>
      <c r="W110" s="251"/>
      <c r="X110" s="251"/>
      <c r="Y110" s="251"/>
      <c r="Z110" s="251"/>
      <c r="AA110" s="251"/>
      <c r="AB110" s="251"/>
      <c r="AC110" s="251"/>
      <c r="AD110" s="251"/>
      <c r="AE110" s="251"/>
      <c r="AF110" s="251"/>
      <c r="AG110" s="251"/>
      <c r="AH110" s="251"/>
      <c r="AI110" s="251"/>
      <c r="AJ110" s="251"/>
      <c r="AK110" s="251"/>
      <c r="AL110" s="251"/>
      <c r="AM110" s="251"/>
      <c r="AN110" s="251"/>
      <c r="AO110" s="236"/>
    </row>
    <row r="111" spans="2:58" ht="15.95" customHeight="1" x14ac:dyDescent="0.25">
      <c r="B111" s="234"/>
      <c r="C111" s="206"/>
      <c r="D111" s="251"/>
      <c r="E111" s="251"/>
      <c r="F111" s="251"/>
      <c r="G111" s="251"/>
      <c r="H111" s="251"/>
      <c r="I111" s="251"/>
      <c r="J111" s="251"/>
      <c r="K111" s="251"/>
      <c r="L111" s="251"/>
      <c r="M111" s="251"/>
      <c r="N111" s="251"/>
      <c r="O111" s="251"/>
      <c r="P111" s="251"/>
      <c r="Q111" s="251"/>
      <c r="R111" s="251"/>
      <c r="S111" s="251"/>
      <c r="T111" s="251"/>
      <c r="U111" s="251"/>
      <c r="V111" s="251"/>
      <c r="W111" s="251"/>
      <c r="X111" s="251"/>
      <c r="Y111" s="251"/>
      <c r="Z111" s="251"/>
      <c r="AA111" s="251"/>
      <c r="AB111" s="251"/>
      <c r="AC111" s="251"/>
      <c r="AD111" s="251"/>
      <c r="AE111" s="251"/>
      <c r="AF111" s="251"/>
      <c r="AG111" s="251"/>
      <c r="AH111" s="251"/>
      <c r="AI111" s="251"/>
      <c r="AJ111" s="251"/>
      <c r="AK111" s="251"/>
      <c r="AL111" s="251"/>
      <c r="AM111" s="251"/>
      <c r="AN111" s="251"/>
      <c r="AO111" s="236"/>
    </row>
    <row r="112" spans="2:58" ht="15.95" customHeight="1" x14ac:dyDescent="0.25">
      <c r="B112" s="253"/>
      <c r="C112" s="301" t="s">
        <v>60</v>
      </c>
      <c r="D112" s="302"/>
      <c r="E112" s="302"/>
      <c r="F112" s="302"/>
      <c r="G112" s="302"/>
      <c r="H112" s="302"/>
      <c r="I112" s="302"/>
      <c r="J112" s="302"/>
      <c r="K112" s="302"/>
      <c r="L112" s="302"/>
      <c r="M112" s="302"/>
      <c r="N112" s="302"/>
      <c r="O112" s="419" t="s">
        <v>61</v>
      </c>
      <c r="P112" s="420"/>
      <c r="Q112" s="420"/>
      <c r="R112" s="420"/>
      <c r="S112" s="420"/>
      <c r="T112" s="420"/>
      <c r="U112" s="420"/>
      <c r="V112" s="420"/>
      <c r="W112" s="420"/>
      <c r="X112" s="420"/>
      <c r="Y112" s="421"/>
      <c r="Z112" s="419" t="s">
        <v>62</v>
      </c>
      <c r="AA112" s="420"/>
      <c r="AB112" s="420"/>
      <c r="AC112" s="420"/>
      <c r="AD112" s="420"/>
      <c r="AE112" s="420"/>
      <c r="AF112" s="421"/>
      <c r="AG112" s="303" t="s">
        <v>63</v>
      </c>
      <c r="AH112" s="223"/>
      <c r="AI112" s="223"/>
      <c r="AJ112" s="223"/>
      <c r="AK112" s="223"/>
      <c r="AL112" s="223"/>
      <c r="AM112" s="223"/>
      <c r="AN112" s="223"/>
      <c r="AO112" s="254"/>
    </row>
    <row r="113" spans="2:41" ht="15.95" customHeight="1" x14ac:dyDescent="0.25">
      <c r="B113" s="255" t="str">
        <f>IF(H60="","",PROPER(H60))</f>
        <v/>
      </c>
      <c r="C113" s="427" t="str">
        <f>IF($I$79="","",PROPER($I$79))</f>
        <v/>
      </c>
      <c r="D113" s="427"/>
      <c r="E113" s="427"/>
      <c r="F113" s="427"/>
      <c r="G113" s="427"/>
      <c r="H113" s="427"/>
      <c r="I113" s="427"/>
      <c r="J113" s="427"/>
      <c r="K113" s="427"/>
      <c r="L113" s="427"/>
      <c r="M113" s="427"/>
      <c r="N113" s="427"/>
      <c r="O113" s="426"/>
      <c r="P113" s="427"/>
      <c r="Q113" s="427"/>
      <c r="R113" s="427"/>
      <c r="S113" s="427"/>
      <c r="T113" s="427"/>
      <c r="U113" s="427"/>
      <c r="V113" s="427"/>
      <c r="W113" s="427"/>
      <c r="X113" s="427"/>
      <c r="Y113" s="427"/>
      <c r="Z113" s="402"/>
      <c r="AA113" s="403"/>
      <c r="AB113" s="403"/>
      <c r="AC113" s="403"/>
      <c r="AD113" s="403"/>
      <c r="AE113" s="403"/>
      <c r="AF113" s="404"/>
      <c r="AG113" s="393"/>
      <c r="AH113" s="394"/>
      <c r="AI113" s="394"/>
      <c r="AJ113" s="394"/>
      <c r="AK113" s="394"/>
      <c r="AL113" s="394"/>
      <c r="AM113" s="394"/>
      <c r="AN113" s="394"/>
      <c r="AO113" s="395"/>
    </row>
    <row r="114" spans="2:41" ht="15.95" customHeight="1" x14ac:dyDescent="0.25">
      <c r="B114" s="256"/>
      <c r="C114" s="429"/>
      <c r="D114" s="429"/>
      <c r="E114" s="429"/>
      <c r="F114" s="429"/>
      <c r="G114" s="429"/>
      <c r="H114" s="429"/>
      <c r="I114" s="429"/>
      <c r="J114" s="429"/>
      <c r="K114" s="429"/>
      <c r="L114" s="429"/>
      <c r="M114" s="429"/>
      <c r="N114" s="429"/>
      <c r="O114" s="428"/>
      <c r="P114" s="429"/>
      <c r="Q114" s="429"/>
      <c r="R114" s="429"/>
      <c r="S114" s="429"/>
      <c r="T114" s="429"/>
      <c r="U114" s="429"/>
      <c r="V114" s="429"/>
      <c r="W114" s="429"/>
      <c r="X114" s="429"/>
      <c r="Y114" s="429"/>
      <c r="Z114" s="405"/>
      <c r="AA114" s="406"/>
      <c r="AB114" s="406"/>
      <c r="AC114" s="406"/>
      <c r="AD114" s="406"/>
      <c r="AE114" s="406"/>
      <c r="AF114" s="407"/>
      <c r="AG114" s="396"/>
      <c r="AH114" s="397"/>
      <c r="AI114" s="397"/>
      <c r="AJ114" s="397"/>
      <c r="AK114" s="397"/>
      <c r="AL114" s="397"/>
      <c r="AM114" s="397"/>
      <c r="AN114" s="397"/>
      <c r="AO114" s="398"/>
    </row>
    <row r="115" spans="2:41" ht="15.95" customHeight="1" x14ac:dyDescent="0.25">
      <c r="B115" s="264"/>
      <c r="C115" s="431"/>
      <c r="D115" s="431"/>
      <c r="E115" s="431"/>
      <c r="F115" s="431"/>
      <c r="G115" s="431"/>
      <c r="H115" s="431"/>
      <c r="I115" s="431"/>
      <c r="J115" s="431"/>
      <c r="K115" s="431"/>
      <c r="L115" s="431"/>
      <c r="M115" s="431"/>
      <c r="N115" s="431"/>
      <c r="O115" s="430"/>
      <c r="P115" s="431"/>
      <c r="Q115" s="431"/>
      <c r="R115" s="431"/>
      <c r="S115" s="431"/>
      <c r="T115" s="431"/>
      <c r="U115" s="431"/>
      <c r="V115" s="431"/>
      <c r="W115" s="431"/>
      <c r="X115" s="431"/>
      <c r="Y115" s="431"/>
      <c r="Z115" s="408"/>
      <c r="AA115" s="409"/>
      <c r="AB115" s="409"/>
      <c r="AC115" s="409"/>
      <c r="AD115" s="409"/>
      <c r="AE115" s="409"/>
      <c r="AF115" s="410"/>
      <c r="AG115" s="399"/>
      <c r="AH115" s="400"/>
      <c r="AI115" s="400"/>
      <c r="AJ115" s="400"/>
      <c r="AK115" s="400"/>
      <c r="AL115" s="400"/>
      <c r="AM115" s="400"/>
      <c r="AN115" s="400"/>
      <c r="AO115" s="401"/>
    </row>
    <row r="116" spans="2:41" ht="15.95" customHeight="1" x14ac:dyDescent="0.25">
      <c r="B116" s="234"/>
      <c r="C116" s="206"/>
      <c r="D116" s="251"/>
      <c r="E116" s="251"/>
      <c r="F116" s="251"/>
      <c r="G116" s="251"/>
      <c r="H116" s="251"/>
      <c r="I116" s="251"/>
      <c r="J116" s="251"/>
      <c r="K116" s="251"/>
      <c r="L116" s="251"/>
      <c r="M116" s="251"/>
      <c r="N116" s="251"/>
      <c r="O116" s="251"/>
      <c r="P116" s="251"/>
      <c r="Q116" s="251"/>
      <c r="R116" s="251"/>
      <c r="S116" s="251"/>
      <c r="T116" s="251"/>
      <c r="U116" s="251"/>
      <c r="V116" s="251"/>
      <c r="W116" s="251"/>
      <c r="X116" s="251"/>
      <c r="Y116" s="251"/>
      <c r="Z116" s="251"/>
      <c r="AA116" s="251"/>
      <c r="AB116" s="251"/>
      <c r="AC116" s="251"/>
      <c r="AD116" s="251"/>
      <c r="AE116" s="251"/>
      <c r="AF116" s="251"/>
      <c r="AG116" s="251"/>
      <c r="AH116" s="251"/>
      <c r="AI116" s="251"/>
      <c r="AJ116" s="251"/>
      <c r="AK116" s="251"/>
      <c r="AL116" s="251"/>
      <c r="AM116" s="251"/>
      <c r="AN116" s="251"/>
      <c r="AO116" s="236"/>
    </row>
    <row r="117" spans="2:41" ht="15.95" customHeight="1" x14ac:dyDescent="0.25">
      <c r="B117" s="234"/>
      <c r="C117" s="235" t="s">
        <v>64</v>
      </c>
      <c r="D117" s="251"/>
      <c r="E117" s="251"/>
      <c r="F117" s="251"/>
      <c r="G117" s="251"/>
      <c r="H117" s="251"/>
      <c r="I117" s="251"/>
      <c r="J117" s="251"/>
      <c r="K117" s="251"/>
      <c r="L117" s="251"/>
      <c r="M117" s="251"/>
      <c r="N117" s="251"/>
      <c r="O117" s="251"/>
      <c r="P117" s="251"/>
      <c r="Q117" s="251"/>
      <c r="R117" s="251"/>
      <c r="S117" s="251"/>
      <c r="T117" s="251"/>
      <c r="U117" s="251"/>
      <c r="V117" s="251"/>
      <c r="W117" s="251"/>
      <c r="X117" s="251"/>
      <c r="Y117" s="251"/>
      <c r="Z117" s="251"/>
      <c r="AA117" s="251"/>
      <c r="AB117" s="251"/>
      <c r="AC117" s="251"/>
      <c r="AD117" s="251"/>
      <c r="AE117" s="251"/>
      <c r="AF117" s="251"/>
      <c r="AG117" s="251"/>
      <c r="AH117" s="251"/>
      <c r="AI117" s="251"/>
      <c r="AJ117" s="251"/>
      <c r="AK117" s="251"/>
      <c r="AL117" s="251"/>
      <c r="AM117" s="251"/>
      <c r="AN117" s="251"/>
      <c r="AO117" s="236"/>
    </row>
    <row r="118" spans="2:41" ht="9.75" customHeight="1" x14ac:dyDescent="0.25">
      <c r="B118" s="234"/>
      <c r="C118" s="206"/>
      <c r="D118" s="251"/>
      <c r="E118" s="251"/>
      <c r="F118" s="251"/>
      <c r="G118" s="251"/>
      <c r="H118" s="251"/>
      <c r="I118" s="251"/>
      <c r="J118" s="251"/>
      <c r="K118" s="251"/>
      <c r="L118" s="251"/>
      <c r="M118" s="251"/>
      <c r="N118" s="251"/>
      <c r="O118" s="251"/>
      <c r="P118" s="251"/>
      <c r="Q118" s="251"/>
      <c r="R118" s="251"/>
      <c r="S118" s="251"/>
      <c r="T118" s="251"/>
      <c r="U118" s="251"/>
      <c r="V118" s="251"/>
      <c r="W118" s="251"/>
      <c r="X118" s="251"/>
      <c r="Y118" s="251"/>
      <c r="Z118" s="251"/>
      <c r="AA118" s="251"/>
      <c r="AB118" s="251"/>
      <c r="AC118" s="251"/>
      <c r="AD118" s="251"/>
      <c r="AE118" s="251"/>
      <c r="AF118" s="251"/>
      <c r="AG118" s="251"/>
      <c r="AH118" s="251"/>
      <c r="AI118" s="251"/>
      <c r="AJ118" s="251"/>
      <c r="AK118" s="251"/>
      <c r="AL118" s="251"/>
      <c r="AM118" s="251"/>
      <c r="AN118" s="251"/>
      <c r="AO118" s="236"/>
    </row>
    <row r="119" spans="2:41" ht="15.95" customHeight="1" x14ac:dyDescent="0.25">
      <c r="B119" s="234"/>
      <c r="C119" s="206"/>
      <c r="D119" s="251"/>
      <c r="E119" s="251"/>
      <c r="F119" s="251"/>
      <c r="G119" s="251"/>
      <c r="H119" s="251"/>
      <c r="I119" s="251"/>
      <c r="J119" s="251"/>
      <c r="K119" s="318" t="s">
        <v>65</v>
      </c>
      <c r="L119" s="385" t="str">
        <f>calcNresults!C94</f>
        <v>the period of stay in Singapore of the abovementioned employee is correct; and</v>
      </c>
      <c r="M119" s="385"/>
      <c r="N119" s="385"/>
      <c r="O119" s="385"/>
      <c r="P119" s="385"/>
      <c r="Q119" s="385"/>
      <c r="R119" s="385"/>
      <c r="S119" s="385"/>
      <c r="T119" s="385"/>
      <c r="U119" s="385"/>
      <c r="V119" s="385"/>
      <c r="W119" s="385"/>
      <c r="X119" s="385"/>
      <c r="Y119" s="385"/>
      <c r="Z119" s="385"/>
      <c r="AA119" s="385"/>
      <c r="AB119" s="385"/>
      <c r="AC119" s="385"/>
      <c r="AD119" s="385"/>
      <c r="AE119" s="385"/>
      <c r="AF119" s="385"/>
      <c r="AG119" s="385"/>
      <c r="AH119" s="385"/>
      <c r="AI119" s="385"/>
      <c r="AJ119" s="385"/>
      <c r="AK119" s="385"/>
      <c r="AL119" s="385"/>
      <c r="AM119" s="385"/>
      <c r="AN119" s="385"/>
      <c r="AO119" s="236"/>
    </row>
    <row r="120" spans="2:41" ht="15.95" customHeight="1" x14ac:dyDescent="0.25">
      <c r="B120" s="234"/>
      <c r="C120" s="206"/>
      <c r="D120" s="251"/>
      <c r="E120" s="251"/>
      <c r="F120" s="251"/>
      <c r="G120" s="251"/>
      <c r="H120" s="251"/>
      <c r="I120" s="251"/>
      <c r="J120" s="251"/>
      <c r="K120" s="414" t="s">
        <v>66</v>
      </c>
      <c r="L120" s="413" t="e">
        <f>calcNresults!C95</f>
        <v>#N/A</v>
      </c>
      <c r="M120" s="413"/>
      <c r="N120" s="413"/>
      <c r="O120" s="413"/>
      <c r="P120" s="413"/>
      <c r="Q120" s="413"/>
      <c r="R120" s="413"/>
      <c r="S120" s="413"/>
      <c r="T120" s="413"/>
      <c r="U120" s="413"/>
      <c r="V120" s="413"/>
      <c r="W120" s="413"/>
      <c r="X120" s="413"/>
      <c r="Y120" s="413"/>
      <c r="Z120" s="413"/>
      <c r="AA120" s="413"/>
      <c r="AB120" s="413"/>
      <c r="AC120" s="413"/>
      <c r="AD120" s="413"/>
      <c r="AE120" s="413"/>
      <c r="AF120" s="413"/>
      <c r="AG120" s="413"/>
      <c r="AH120" s="413"/>
      <c r="AI120" s="413"/>
      <c r="AJ120" s="413"/>
      <c r="AK120" s="413"/>
      <c r="AL120" s="413"/>
      <c r="AM120" s="413"/>
      <c r="AN120" s="413"/>
      <c r="AO120" s="236"/>
    </row>
    <row r="121" spans="2:41" ht="15.95" customHeight="1" x14ac:dyDescent="0.25">
      <c r="B121" s="234"/>
      <c r="C121" s="206"/>
      <c r="D121" s="251"/>
      <c r="E121" s="251"/>
      <c r="F121" s="251"/>
      <c r="G121" s="251"/>
      <c r="H121" s="251"/>
      <c r="I121" s="206"/>
      <c r="J121" s="206"/>
      <c r="K121" s="414"/>
      <c r="L121" s="413"/>
      <c r="M121" s="413"/>
      <c r="N121" s="413"/>
      <c r="O121" s="413"/>
      <c r="P121" s="413"/>
      <c r="Q121" s="413"/>
      <c r="R121" s="413"/>
      <c r="S121" s="413"/>
      <c r="T121" s="413"/>
      <c r="U121" s="413"/>
      <c r="V121" s="413"/>
      <c r="W121" s="413"/>
      <c r="X121" s="413"/>
      <c r="Y121" s="413"/>
      <c r="Z121" s="413"/>
      <c r="AA121" s="413"/>
      <c r="AB121" s="413"/>
      <c r="AC121" s="413"/>
      <c r="AD121" s="413"/>
      <c r="AE121" s="413"/>
      <c r="AF121" s="413"/>
      <c r="AG121" s="413"/>
      <c r="AH121" s="413"/>
      <c r="AI121" s="413"/>
      <c r="AJ121" s="413"/>
      <c r="AK121" s="413"/>
      <c r="AL121" s="413"/>
      <c r="AM121" s="413"/>
      <c r="AN121" s="413"/>
      <c r="AO121" s="236"/>
    </row>
    <row r="122" spans="2:41" ht="9.1999999999999993" customHeight="1" x14ac:dyDescent="0.25">
      <c r="B122" s="234"/>
      <c r="C122" s="252"/>
      <c r="D122" s="218"/>
      <c r="E122" s="218"/>
      <c r="F122" s="219"/>
      <c r="G122" s="220"/>
      <c r="H122" s="221"/>
      <c r="I122" s="221"/>
      <c r="J122" s="221"/>
      <c r="K122" s="221"/>
      <c r="L122" s="222"/>
      <c r="AO122" s="236"/>
    </row>
    <row r="123" spans="2:41" ht="15.75" x14ac:dyDescent="0.25">
      <c r="B123" s="265"/>
      <c r="C123" s="303" t="s">
        <v>67</v>
      </c>
      <c r="D123" s="304"/>
      <c r="E123" s="304"/>
      <c r="F123" s="304"/>
      <c r="G123" s="304"/>
      <c r="H123" s="304"/>
      <c r="I123" s="304"/>
      <c r="J123" s="305"/>
      <c r="K123" s="303" t="s">
        <v>68</v>
      </c>
      <c r="L123" s="304"/>
      <c r="M123" s="304"/>
      <c r="N123" s="304"/>
      <c r="O123" s="306"/>
      <c r="P123" s="303"/>
      <c r="Q123" s="303"/>
      <c r="R123" s="303"/>
      <c r="S123" s="307"/>
      <c r="T123" s="303" t="s">
        <v>69</v>
      </c>
      <c r="U123" s="303"/>
      <c r="V123" s="303"/>
      <c r="W123" s="303"/>
      <c r="X123" s="303"/>
      <c r="Y123" s="303"/>
      <c r="Z123" s="303"/>
      <c r="AA123" s="419" t="s">
        <v>70</v>
      </c>
      <c r="AB123" s="420"/>
      <c r="AC123" s="420"/>
      <c r="AD123" s="420"/>
      <c r="AE123" s="420"/>
      <c r="AF123" s="420"/>
      <c r="AG123" s="421"/>
      <c r="AH123" s="306" t="s">
        <v>63</v>
      </c>
      <c r="AI123" s="303"/>
      <c r="AJ123" s="303"/>
      <c r="AK123" s="223"/>
      <c r="AL123" s="223"/>
      <c r="AM123" s="223"/>
      <c r="AN123" s="223"/>
      <c r="AO123" s="254"/>
    </row>
    <row r="124" spans="2:41" ht="15" customHeight="1" x14ac:dyDescent="0.25">
      <c r="B124" s="255" t="str">
        <f>IF(H79="","",PROPER(H79))</f>
        <v/>
      </c>
      <c r="C124" s="448"/>
      <c r="D124" s="448"/>
      <c r="E124" s="448"/>
      <c r="F124" s="448"/>
      <c r="G124" s="448"/>
      <c r="H124" s="448"/>
      <c r="I124" s="448"/>
      <c r="J124" s="449"/>
      <c r="K124" s="447"/>
      <c r="L124" s="448"/>
      <c r="M124" s="448"/>
      <c r="N124" s="448"/>
      <c r="O124" s="448"/>
      <c r="P124" s="448"/>
      <c r="Q124" s="448"/>
      <c r="R124" s="448"/>
      <c r="S124" s="449"/>
      <c r="T124" s="447"/>
      <c r="U124" s="448"/>
      <c r="V124" s="448"/>
      <c r="W124" s="448"/>
      <c r="X124" s="448"/>
      <c r="Y124" s="448"/>
      <c r="Z124" s="449"/>
      <c r="AA124" s="488"/>
      <c r="AB124" s="489"/>
      <c r="AC124" s="489"/>
      <c r="AD124" s="489"/>
      <c r="AE124" s="489"/>
      <c r="AF124" s="489"/>
      <c r="AG124" s="490"/>
      <c r="AH124" s="393"/>
      <c r="AI124" s="394"/>
      <c r="AJ124" s="394"/>
      <c r="AK124" s="394"/>
      <c r="AL124" s="394"/>
      <c r="AM124" s="394"/>
      <c r="AN124" s="394"/>
      <c r="AO124" s="395"/>
    </row>
    <row r="125" spans="2:41" ht="15" customHeight="1" x14ac:dyDescent="0.25">
      <c r="B125" s="256"/>
      <c r="C125" s="451"/>
      <c r="D125" s="451"/>
      <c r="E125" s="451"/>
      <c r="F125" s="451"/>
      <c r="G125" s="451"/>
      <c r="H125" s="451"/>
      <c r="I125" s="451"/>
      <c r="J125" s="452"/>
      <c r="K125" s="450"/>
      <c r="L125" s="451"/>
      <c r="M125" s="451"/>
      <c r="N125" s="451"/>
      <c r="O125" s="451"/>
      <c r="P125" s="451"/>
      <c r="Q125" s="451"/>
      <c r="R125" s="451"/>
      <c r="S125" s="452"/>
      <c r="T125" s="450"/>
      <c r="U125" s="451"/>
      <c r="V125" s="451"/>
      <c r="W125" s="451"/>
      <c r="X125" s="451"/>
      <c r="Y125" s="451"/>
      <c r="Z125" s="452"/>
      <c r="AA125" s="491"/>
      <c r="AB125" s="492"/>
      <c r="AC125" s="492"/>
      <c r="AD125" s="492"/>
      <c r="AE125" s="492"/>
      <c r="AF125" s="492"/>
      <c r="AG125" s="493"/>
      <c r="AH125" s="396"/>
      <c r="AI125" s="397"/>
      <c r="AJ125" s="397"/>
      <c r="AK125" s="397"/>
      <c r="AL125" s="397"/>
      <c r="AM125" s="397"/>
      <c r="AN125" s="397"/>
      <c r="AO125" s="398"/>
    </row>
    <row r="126" spans="2:41" ht="15.95" customHeight="1" thickBot="1" x14ac:dyDescent="0.3">
      <c r="B126" s="257"/>
      <c r="C126" s="454"/>
      <c r="D126" s="454"/>
      <c r="E126" s="454"/>
      <c r="F126" s="454"/>
      <c r="G126" s="454"/>
      <c r="H126" s="454"/>
      <c r="I126" s="454"/>
      <c r="J126" s="455"/>
      <c r="K126" s="453"/>
      <c r="L126" s="454"/>
      <c r="M126" s="454"/>
      <c r="N126" s="454"/>
      <c r="O126" s="454"/>
      <c r="P126" s="454"/>
      <c r="Q126" s="454"/>
      <c r="R126" s="454"/>
      <c r="S126" s="455"/>
      <c r="T126" s="453"/>
      <c r="U126" s="454"/>
      <c r="V126" s="454"/>
      <c r="W126" s="454"/>
      <c r="X126" s="454"/>
      <c r="Y126" s="454"/>
      <c r="Z126" s="455"/>
      <c r="AA126" s="494"/>
      <c r="AB126" s="495"/>
      <c r="AC126" s="495"/>
      <c r="AD126" s="495"/>
      <c r="AE126" s="495"/>
      <c r="AF126" s="495"/>
      <c r="AG126" s="496"/>
      <c r="AH126" s="456"/>
      <c r="AI126" s="457"/>
      <c r="AJ126" s="457"/>
      <c r="AK126" s="457"/>
      <c r="AL126" s="457"/>
      <c r="AM126" s="457"/>
      <c r="AN126" s="457"/>
      <c r="AO126" s="458"/>
    </row>
    <row r="127" spans="2:41" ht="9.1999999999999993" customHeight="1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2:41" x14ac:dyDescent="0.25">
      <c r="B128" s="418" t="s">
        <v>71</v>
      </c>
      <c r="C128" s="418"/>
      <c r="D128" s="418"/>
      <c r="E128" s="418"/>
      <c r="F128" s="418"/>
      <c r="G128" s="418"/>
      <c r="H128" s="418"/>
      <c r="I128" s="418"/>
      <c r="J128" s="418"/>
      <c r="K128" s="418"/>
      <c r="L128" s="418"/>
      <c r="M128" s="418"/>
      <c r="N128" s="418"/>
      <c r="O128" s="418"/>
      <c r="P128" s="418"/>
      <c r="Q128" s="418"/>
      <c r="R128" s="418"/>
      <c r="S128" s="418"/>
      <c r="T128" s="418"/>
      <c r="U128" s="418"/>
      <c r="V128" s="418"/>
      <c r="W128" s="418"/>
      <c r="X128" s="418"/>
      <c r="Y128" s="418"/>
      <c r="Z128" s="418"/>
      <c r="AA128" s="418"/>
      <c r="AB128" s="418"/>
      <c r="AC128" s="418"/>
      <c r="AD128" s="418"/>
      <c r="AE128" s="418"/>
      <c r="AF128" s="418"/>
      <c r="AG128" s="418"/>
      <c r="AH128" s="418"/>
      <c r="AI128" s="418"/>
      <c r="AJ128" s="418"/>
      <c r="AK128" s="418"/>
      <c r="AL128" s="418"/>
      <c r="AM128" s="418"/>
      <c r="AN128" s="418"/>
      <c r="AO128" s="418"/>
    </row>
    <row r="129" spans="2:46" ht="9.1999999999999993" customHeight="1" x14ac:dyDescent="0.25">
      <c r="B129" s="258"/>
      <c r="C129" s="259"/>
      <c r="E129" s="260"/>
      <c r="F129" s="259"/>
      <c r="H129" s="260"/>
      <c r="I129" s="259"/>
    </row>
    <row r="130" spans="2:46" x14ac:dyDescent="0.25">
      <c r="B130" s="446" t="s">
        <v>72</v>
      </c>
      <c r="C130" s="446"/>
      <c r="D130" s="446"/>
      <c r="E130" s="446"/>
      <c r="F130" s="446"/>
      <c r="G130" s="446"/>
      <c r="H130" s="446"/>
      <c r="I130" s="446"/>
      <c r="J130" s="446"/>
      <c r="K130" s="446"/>
      <c r="L130" s="446"/>
      <c r="M130" s="446"/>
      <c r="N130" s="446"/>
      <c r="O130" s="446"/>
      <c r="P130" s="446"/>
      <c r="Q130" s="446"/>
      <c r="R130" s="446"/>
      <c r="S130" s="446"/>
      <c r="T130" s="446"/>
      <c r="U130" s="446"/>
      <c r="V130" s="446"/>
      <c r="W130" s="446"/>
      <c r="X130" s="446"/>
      <c r="Y130" s="446"/>
      <c r="Z130" s="446"/>
      <c r="AA130" s="446"/>
      <c r="AB130" s="446"/>
      <c r="AC130" s="446"/>
      <c r="AD130" s="446"/>
      <c r="AE130" s="446"/>
      <c r="AF130" s="446"/>
      <c r="AG130" s="446"/>
      <c r="AH130" s="446"/>
      <c r="AI130" s="446"/>
      <c r="AJ130" s="446"/>
      <c r="AK130" s="446"/>
      <c r="AL130" s="446"/>
      <c r="AM130" s="446"/>
      <c r="AN130" s="446"/>
      <c r="AO130" s="446"/>
    </row>
    <row r="131" spans="2:46" x14ac:dyDescent="0.25">
      <c r="B131" s="446" t="s">
        <v>73</v>
      </c>
      <c r="C131" s="446"/>
      <c r="D131" s="446"/>
      <c r="E131" s="446"/>
      <c r="F131" s="446"/>
      <c r="G131" s="446"/>
      <c r="H131" s="446"/>
      <c r="I131" s="446"/>
      <c r="J131" s="446"/>
      <c r="K131" s="446"/>
      <c r="L131" s="446"/>
      <c r="M131" s="446"/>
      <c r="N131" s="446"/>
      <c r="O131" s="446"/>
      <c r="P131" s="446"/>
      <c r="Q131" s="446"/>
      <c r="R131" s="446"/>
      <c r="S131" s="446"/>
      <c r="T131" s="446"/>
      <c r="U131" s="446"/>
      <c r="V131" s="446"/>
      <c r="W131" s="446"/>
      <c r="X131" s="446"/>
      <c r="Y131" s="446"/>
      <c r="Z131" s="446"/>
      <c r="AA131" s="446"/>
      <c r="AB131" s="446"/>
      <c r="AC131" s="446"/>
      <c r="AD131" s="446"/>
      <c r="AE131" s="446"/>
      <c r="AF131" s="446"/>
      <c r="AG131" s="446"/>
      <c r="AH131" s="446"/>
      <c r="AI131" s="446"/>
      <c r="AJ131" s="446"/>
      <c r="AK131" s="446"/>
      <c r="AL131" s="446"/>
      <c r="AM131" s="446"/>
      <c r="AN131" s="446"/>
      <c r="AO131" s="446"/>
    </row>
    <row r="132" spans="2:46" ht="121.15" customHeight="1" x14ac:dyDescent="0.25">
      <c r="B132" s="268"/>
      <c r="C132" s="268"/>
      <c r="D132" s="268"/>
      <c r="E132" s="268"/>
      <c r="F132" s="268"/>
      <c r="G132" s="268"/>
      <c r="H132" s="268"/>
      <c r="I132" s="268"/>
      <c r="J132" s="268"/>
      <c r="K132" s="268"/>
      <c r="L132" s="268"/>
      <c r="M132" s="268"/>
      <c r="N132" s="268"/>
      <c r="O132" s="268"/>
      <c r="P132" s="268"/>
      <c r="Q132" s="268"/>
      <c r="R132" s="268"/>
      <c r="S132" s="268"/>
      <c r="T132" s="268"/>
      <c r="U132" s="268"/>
      <c r="V132" s="268"/>
      <c r="W132" s="268"/>
      <c r="X132" s="268"/>
      <c r="Y132" s="268"/>
      <c r="Z132" s="268"/>
      <c r="AA132" s="268"/>
      <c r="AB132" s="268"/>
      <c r="AC132" s="268"/>
      <c r="AD132" s="268"/>
      <c r="AE132" s="268"/>
      <c r="AF132" s="268"/>
      <c r="AG132" s="268"/>
      <c r="AH132" s="268"/>
      <c r="AI132" s="268"/>
      <c r="AJ132" s="268"/>
      <c r="AK132" s="268"/>
      <c r="AL132" s="268"/>
      <c r="AM132" s="268"/>
      <c r="AN132" s="268"/>
      <c r="AO132" s="268"/>
    </row>
    <row r="133" spans="2:46" x14ac:dyDescent="0.25">
      <c r="B133" s="416" t="s">
        <v>74</v>
      </c>
      <c r="C133" s="416"/>
      <c r="D133" s="416"/>
      <c r="E133" s="416"/>
      <c r="F133" s="416"/>
      <c r="G133" s="416"/>
      <c r="H133" s="416"/>
      <c r="I133" s="416"/>
      <c r="J133" s="416"/>
      <c r="K133" s="416"/>
      <c r="L133" s="416"/>
      <c r="M133" s="416"/>
      <c r="N133" s="416"/>
      <c r="O133" s="416"/>
      <c r="P133" s="416"/>
      <c r="Q133" s="416"/>
      <c r="R133" s="416"/>
      <c r="S133" s="416"/>
      <c r="T133" s="416"/>
      <c r="U133" s="416"/>
      <c r="V133" s="416"/>
      <c r="W133" s="416"/>
      <c r="X133" s="416"/>
      <c r="Y133" s="416"/>
      <c r="Z133" s="416"/>
      <c r="AA133" s="416"/>
      <c r="AB133" s="416"/>
      <c r="AC133" s="416"/>
      <c r="AD133" s="416"/>
      <c r="AE133" s="416"/>
      <c r="AF133" s="416"/>
      <c r="AG133" s="416"/>
      <c r="AH133" s="416"/>
      <c r="AI133" s="416"/>
      <c r="AJ133" s="416"/>
      <c r="AK133" s="416"/>
      <c r="AL133" s="416"/>
      <c r="AM133" s="416"/>
      <c r="AN133" s="416"/>
      <c r="AO133" s="416"/>
    </row>
    <row r="134" spans="2:46" ht="15.75" thickBot="1" x14ac:dyDescent="0.3">
      <c r="B134" s="151"/>
      <c r="D134" s="19"/>
      <c r="E134" s="19"/>
      <c r="F134" s="19"/>
      <c r="G134" s="19"/>
      <c r="H134" s="19"/>
      <c r="I134" s="19"/>
      <c r="J134" s="19"/>
      <c r="K134" s="19"/>
      <c r="L134" s="19"/>
    </row>
    <row r="135" spans="2:46" ht="16.5" customHeight="1" thickBot="1" x14ac:dyDescent="0.3">
      <c r="B135" s="230" t="s">
        <v>75</v>
      </c>
      <c r="C135" s="33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6"/>
      <c r="AJ135" s="6"/>
      <c r="AK135" s="6"/>
      <c r="AL135" s="6"/>
      <c r="AM135" s="7"/>
      <c r="AN135" s="294" t="s">
        <v>76</v>
      </c>
      <c r="AO135" s="8"/>
    </row>
    <row r="136" spans="2:46" ht="15.75" x14ac:dyDescent="0.3">
      <c r="B136" s="153"/>
      <c r="C136" s="154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1"/>
      <c r="AK136" s="41"/>
      <c r="AL136" s="41"/>
      <c r="AM136" s="41"/>
      <c r="AN136" s="41"/>
      <c r="AO136" s="155"/>
    </row>
    <row r="137" spans="2:46" ht="15.75" x14ac:dyDescent="0.25">
      <c r="B137" s="145"/>
      <c r="C137" s="417" t="s">
        <v>77</v>
      </c>
      <c r="D137" s="417"/>
      <c r="E137" s="417"/>
      <c r="F137" s="417"/>
      <c r="G137" s="417"/>
      <c r="H137" s="417"/>
      <c r="I137" s="417"/>
      <c r="J137" s="415" t="str">
        <f>PROPER($I$79)</f>
        <v/>
      </c>
      <c r="K137" s="415"/>
      <c r="L137" s="415"/>
      <c r="M137" s="415"/>
      <c r="N137" s="415"/>
      <c r="O137" s="415"/>
      <c r="P137" s="415"/>
      <c r="Q137" s="415"/>
      <c r="R137" s="415"/>
      <c r="S137" s="415"/>
      <c r="T137" s="415"/>
      <c r="U137" s="415"/>
      <c r="V137" s="415"/>
      <c r="W137" s="415"/>
      <c r="X137" s="415"/>
      <c r="Y137" s="415"/>
      <c r="Z137" s="415"/>
      <c r="AA137" s="415"/>
      <c r="AO137" s="147"/>
    </row>
    <row r="138" spans="2:46" ht="15.75" x14ac:dyDescent="0.25">
      <c r="B138" s="145"/>
      <c r="C138" s="417" t="str">
        <f>$AB$79</f>
        <v>FIN / Passport No.:</v>
      </c>
      <c r="D138" s="417"/>
      <c r="E138" s="417"/>
      <c r="F138" s="417"/>
      <c r="G138" s="417"/>
      <c r="H138" s="417"/>
      <c r="I138" s="417"/>
      <c r="J138" s="415" t="str">
        <f>IF($AF$79="","",UPPER($AF$79))</f>
        <v/>
      </c>
      <c r="K138" s="415"/>
      <c r="L138" s="415"/>
      <c r="M138" s="415"/>
      <c r="N138" s="415"/>
      <c r="O138" s="415"/>
      <c r="P138" s="415"/>
      <c r="Q138" s="270"/>
      <c r="R138" s="270"/>
      <c r="S138" s="270"/>
      <c r="T138" s="270"/>
      <c r="U138" s="270"/>
      <c r="V138" s="270"/>
      <c r="W138" s="270"/>
      <c r="X138" s="270"/>
      <c r="Y138" s="270"/>
      <c r="Z138" s="270"/>
      <c r="AA138" s="169"/>
      <c r="AB138" s="269"/>
      <c r="AC138" s="269"/>
      <c r="AD138" s="269"/>
      <c r="AE138" s="269"/>
      <c r="AF138" s="269"/>
      <c r="AG138" s="269"/>
      <c r="AH138" s="270"/>
      <c r="AI138" s="270"/>
      <c r="AJ138" s="270"/>
      <c r="AK138" s="270"/>
      <c r="AL138" s="270"/>
      <c r="AM138" s="270"/>
      <c r="AN138" s="270"/>
      <c r="AO138" s="147"/>
    </row>
    <row r="139" spans="2:46" ht="15.75" x14ac:dyDescent="0.3">
      <c r="B139" s="145"/>
      <c r="C139" s="146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78"/>
      <c r="AK139" s="78"/>
      <c r="AL139" s="78"/>
      <c r="AM139" s="78"/>
      <c r="AN139" s="78"/>
      <c r="AO139" s="147"/>
    </row>
    <row r="140" spans="2:46" ht="16.5" x14ac:dyDescent="0.3">
      <c r="B140" s="156"/>
      <c r="C140" s="231" t="s">
        <v>78</v>
      </c>
      <c r="D140" s="67"/>
      <c r="E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AG140" s="67"/>
      <c r="AH140" s="67"/>
      <c r="AI140" s="10"/>
      <c r="AJ140" s="11"/>
      <c r="AK140" s="11"/>
      <c r="AL140" s="11"/>
      <c r="AM140" s="69"/>
      <c r="AN140" s="70"/>
      <c r="AO140" s="147"/>
    </row>
    <row r="141" spans="2:46" ht="16.5" x14ac:dyDescent="0.3">
      <c r="B141" s="156"/>
      <c r="C141" s="231"/>
      <c r="D141" s="67"/>
      <c r="E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10"/>
      <c r="AJ141" s="11"/>
      <c r="AK141" s="11"/>
      <c r="AL141" s="11"/>
      <c r="AM141" s="69"/>
      <c r="AN141" s="70"/>
      <c r="AO141" s="147"/>
    </row>
    <row r="142" spans="2:46" ht="18.75" x14ac:dyDescent="0.3">
      <c r="B142" s="156"/>
      <c r="C142" s="503" t="s">
        <v>79</v>
      </c>
      <c r="D142" s="503"/>
      <c r="E142" s="503"/>
      <c r="F142" s="503"/>
      <c r="G142" s="503"/>
      <c r="H142" s="503"/>
      <c r="I142" s="503"/>
      <c r="J142" s="503"/>
      <c r="K142" s="503"/>
      <c r="L142" s="503"/>
      <c r="M142" s="503"/>
      <c r="N142" s="503"/>
      <c r="O142" s="503"/>
      <c r="P142" s="503"/>
      <c r="Q142" s="503"/>
      <c r="R142" s="504" t="e">
        <f ca="1">IF(days!$I$26="",RIGHT(days!$E$25,2),IF(days!$I$26="both",RIGHT(days!$I$12,2),RIGHT(days!$I$26,2)))</f>
        <v>#N/A</v>
      </c>
      <c r="S142" s="504"/>
      <c r="T142" s="503" t="str">
        <f>IF($AS$142="show","and the Year 20","")</f>
        <v/>
      </c>
      <c r="U142" s="503"/>
      <c r="V142" s="503"/>
      <c r="W142" s="503"/>
      <c r="X142" s="503"/>
      <c r="Y142" s="503"/>
      <c r="Z142" s="504" t="str">
        <f>IF($AS$142="show",RIGHT(days!$F$25,2),"")</f>
        <v/>
      </c>
      <c r="AA142" s="504"/>
      <c r="AB142" s="317"/>
      <c r="AC142" s="67"/>
      <c r="AD142" s="67"/>
      <c r="AE142" s="67"/>
      <c r="AF142" s="67"/>
      <c r="AG142" s="67"/>
      <c r="AH142" s="67"/>
      <c r="AI142" s="10"/>
      <c r="AJ142" s="11"/>
      <c r="AK142" s="11"/>
      <c r="AL142" s="11"/>
      <c r="AM142" s="69"/>
      <c r="AN142" s="70"/>
      <c r="AO142" s="147"/>
      <c r="AS142" s="163" t="str">
        <f>IF(AND(OR(days!E2="France",days!E2="Thailand"),calcNresults!D30="Partial",SUM(days!I25:J25)&lt;=183),"show",IF(AND(calcNresults!$D$31="Yes",days!E25&lt;&gt;days!F25),"show","hide"))</f>
        <v>hide</v>
      </c>
      <c r="AT142" s="143" t="s">
        <v>80</v>
      </c>
    </row>
    <row r="143" spans="2:46" ht="15.75" x14ac:dyDescent="0.3">
      <c r="B143" s="145"/>
      <c r="C143" s="152"/>
      <c r="D143" s="67"/>
      <c r="E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  <c r="AA143" s="67"/>
      <c r="AB143" s="67"/>
      <c r="AC143" s="67"/>
      <c r="AD143" s="67"/>
      <c r="AE143" s="67"/>
      <c r="AF143" s="67"/>
      <c r="AG143" s="67"/>
      <c r="AH143" s="67"/>
      <c r="AI143" s="10"/>
      <c r="AJ143" s="11"/>
      <c r="AK143" s="11"/>
      <c r="AL143" s="11"/>
      <c r="AM143" s="12"/>
      <c r="AN143" s="12"/>
      <c r="AO143" s="147"/>
    </row>
    <row r="144" spans="2:46" ht="18.75" customHeight="1" x14ac:dyDescent="0.3">
      <c r="B144" s="145"/>
      <c r="C144" s="206" t="s">
        <v>81</v>
      </c>
      <c r="D144" s="67"/>
      <c r="E144" s="67"/>
      <c r="H144" s="67"/>
      <c r="I144" s="67"/>
      <c r="J144" s="67"/>
      <c r="K144" s="67"/>
      <c r="L144" s="67"/>
      <c r="M144" s="67"/>
      <c r="N144" s="67"/>
      <c r="O144" s="67"/>
      <c r="P144" s="502" t="str">
        <f>IF($AE$13="","",VLOOKUP($AE$13,matrix,16,FALSE))</f>
        <v/>
      </c>
      <c r="Q144" s="502"/>
      <c r="R144" s="502"/>
      <c r="S144" s="502"/>
      <c r="T144" s="502"/>
      <c r="U144" s="502"/>
      <c r="V144" s="502"/>
      <c r="W144" s="502"/>
      <c r="X144" s="502"/>
      <c r="Y144" s="206" t="s">
        <v>82</v>
      </c>
      <c r="Z144" s="67"/>
      <c r="AA144" s="67"/>
      <c r="AB144" s="67"/>
      <c r="AC144" s="67"/>
      <c r="AD144" s="67"/>
      <c r="AE144" s="67"/>
      <c r="AF144" s="67"/>
      <c r="AG144" s="67"/>
      <c r="AH144" s="67"/>
      <c r="AI144" s="10"/>
      <c r="AJ144" s="11"/>
      <c r="AK144" s="11"/>
      <c r="AL144" s="11"/>
      <c r="AM144" s="12"/>
      <c r="AN144" s="12"/>
      <c r="AO144" s="147"/>
    </row>
    <row r="145" spans="2:41" ht="18.75" customHeight="1" x14ac:dyDescent="0.3">
      <c r="B145" s="156"/>
      <c r="C145" s="206" t="s">
        <v>83</v>
      </c>
      <c r="D145" s="67"/>
      <c r="E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  <c r="AG145" s="67"/>
      <c r="AH145" s="67"/>
      <c r="AI145" s="10"/>
      <c r="AJ145" s="11"/>
      <c r="AK145" s="11"/>
      <c r="AL145" s="11"/>
      <c r="AM145" s="69"/>
      <c r="AN145" s="70"/>
      <c r="AO145" s="147"/>
    </row>
    <row r="146" spans="2:41" ht="18.75" customHeight="1" x14ac:dyDescent="0.3">
      <c r="B146" s="156"/>
      <c r="C146" s="206" t="s">
        <v>84</v>
      </c>
      <c r="D146" s="67"/>
      <c r="E146" s="67"/>
      <c r="G146" s="502" t="str">
        <f>IF($AE$13="","",VLOOKUP($AE$13,matrix,16,FALSE))</f>
        <v/>
      </c>
      <c r="H146" s="502"/>
      <c r="I146" s="502"/>
      <c r="J146" s="502"/>
      <c r="K146" s="502"/>
      <c r="L146" s="502"/>
      <c r="M146" s="502"/>
      <c r="N146" s="502"/>
      <c r="O146" s="502"/>
      <c r="P146" s="501" t="s">
        <v>85</v>
      </c>
      <c r="Q146" s="501"/>
      <c r="R146" s="501"/>
      <c r="S146" s="501"/>
      <c r="T146" s="501"/>
      <c r="U146" s="501"/>
      <c r="V146" s="501"/>
      <c r="W146" s="501"/>
      <c r="X146" s="501"/>
      <c r="Y146" s="501"/>
      <c r="Z146" s="501"/>
      <c r="AA146" s="502" t="str">
        <f>IF($AE$13="","",VLOOKUP($AE$13,matrix,16,FALSE))</f>
        <v/>
      </c>
      <c r="AB146" s="502"/>
      <c r="AC146" s="502"/>
      <c r="AD146" s="502"/>
      <c r="AE146" s="502"/>
      <c r="AF146" s="502"/>
      <c r="AG146" s="502"/>
      <c r="AH146" s="502"/>
      <c r="AI146" s="502"/>
      <c r="AJ146" s="58"/>
      <c r="AK146" s="206"/>
      <c r="AL146" s="11"/>
      <c r="AM146" s="69"/>
      <c r="AN146" s="70"/>
      <c r="AO146" s="147"/>
    </row>
    <row r="147" spans="2:41" ht="18.75" customHeight="1" x14ac:dyDescent="0.3">
      <c r="B147" s="145"/>
      <c r="C147" s="206" t="s">
        <v>86</v>
      </c>
      <c r="D147" s="67"/>
      <c r="E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67"/>
      <c r="AH147" s="67"/>
      <c r="AI147" s="10"/>
      <c r="AJ147" s="11"/>
      <c r="AK147" s="11"/>
      <c r="AL147" s="11"/>
      <c r="AM147" s="12"/>
      <c r="AN147" s="12"/>
      <c r="AO147" s="147"/>
    </row>
    <row r="148" spans="2:41" ht="16.5" x14ac:dyDescent="0.3">
      <c r="B148" s="156"/>
      <c r="C148" s="152"/>
      <c r="D148" s="67"/>
      <c r="E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  <c r="AA148" s="67"/>
      <c r="AB148" s="67"/>
      <c r="AC148" s="67"/>
      <c r="AD148" s="67"/>
      <c r="AE148" s="67"/>
      <c r="AF148" s="67"/>
      <c r="AG148" s="67"/>
      <c r="AH148" s="67"/>
      <c r="AI148" s="10"/>
      <c r="AJ148" s="11"/>
      <c r="AK148" s="11"/>
      <c r="AL148" s="11"/>
      <c r="AM148" s="69"/>
      <c r="AN148" s="70"/>
      <c r="AO148" s="46"/>
    </row>
    <row r="149" spans="2:41" ht="16.5" x14ac:dyDescent="0.3">
      <c r="B149" s="156"/>
      <c r="C149" s="206"/>
      <c r="D149" s="67"/>
      <c r="E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  <c r="AD149" s="67"/>
      <c r="AE149" s="67"/>
      <c r="AF149" s="67"/>
      <c r="AG149" s="67"/>
      <c r="AH149" s="67"/>
      <c r="AI149" s="10"/>
      <c r="AJ149" s="11"/>
      <c r="AK149" s="11"/>
      <c r="AL149" s="11"/>
      <c r="AM149" s="69"/>
      <c r="AN149" s="70"/>
      <c r="AO149" s="46"/>
    </row>
    <row r="150" spans="2:41" ht="16.5" x14ac:dyDescent="0.3">
      <c r="B150" s="156"/>
      <c r="C150" s="206"/>
      <c r="D150" s="67"/>
      <c r="E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  <c r="AG150" s="67"/>
      <c r="AH150" s="67"/>
      <c r="AI150" s="10"/>
      <c r="AJ150" s="11"/>
      <c r="AK150" s="11"/>
      <c r="AL150" s="11"/>
      <c r="AM150" s="69"/>
      <c r="AN150" s="70"/>
      <c r="AO150" s="46"/>
    </row>
    <row r="151" spans="2:41" ht="31.5" customHeight="1" x14ac:dyDescent="0.3">
      <c r="B151" s="156"/>
      <c r="C151" s="347"/>
      <c r="D151" s="347"/>
      <c r="E151" s="347"/>
      <c r="F151" s="347"/>
      <c r="G151" s="347"/>
      <c r="H151" s="347"/>
      <c r="I151" s="347"/>
      <c r="J151" s="347"/>
      <c r="K151" s="347"/>
      <c r="L151" s="347"/>
      <c r="M151" s="347"/>
      <c r="N151" s="347"/>
      <c r="O151" s="347"/>
      <c r="P151" s="232"/>
      <c r="Q151" s="232"/>
      <c r="R151" s="232"/>
      <c r="S151" s="232"/>
      <c r="T151" s="232"/>
      <c r="U151" s="232"/>
      <c r="V151" s="232"/>
      <c r="W151" s="232"/>
      <c r="X151" s="67"/>
      <c r="Y151" s="67"/>
      <c r="Z151" s="67"/>
      <c r="AA151" s="67"/>
      <c r="AK151" s="11"/>
      <c r="AL151" s="11"/>
      <c r="AM151" s="69"/>
      <c r="AN151" s="70"/>
      <c r="AO151" s="46"/>
    </row>
    <row r="152" spans="2:41" ht="31.5" customHeight="1" x14ac:dyDescent="0.3">
      <c r="B152" s="156"/>
      <c r="C152" s="347"/>
      <c r="D152" s="347"/>
      <c r="E152" s="347"/>
      <c r="F152" s="347"/>
      <c r="G152" s="347"/>
      <c r="H152" s="347"/>
      <c r="I152" s="347"/>
      <c r="J152" s="347"/>
      <c r="K152" s="347"/>
      <c r="L152" s="347"/>
      <c r="M152" s="347"/>
      <c r="N152" s="347"/>
      <c r="O152" s="347"/>
      <c r="P152" s="232"/>
      <c r="Q152" s="232"/>
      <c r="R152" s="232"/>
      <c r="S152" s="232"/>
      <c r="T152" s="232"/>
      <c r="U152" s="232"/>
      <c r="V152" s="232"/>
      <c r="W152" s="232"/>
      <c r="X152" s="67"/>
      <c r="Y152" s="67"/>
      <c r="Z152" s="67"/>
      <c r="AA152" s="67"/>
      <c r="AK152" s="11"/>
      <c r="AL152" s="11"/>
      <c r="AM152" s="69"/>
      <c r="AN152" s="70"/>
      <c r="AO152" s="46"/>
    </row>
    <row r="153" spans="2:41" ht="16.5" customHeight="1" x14ac:dyDescent="0.3">
      <c r="B153" s="156"/>
      <c r="C153" s="347"/>
      <c r="D153" s="347"/>
      <c r="E153" s="347"/>
      <c r="F153" s="347"/>
      <c r="G153" s="347"/>
      <c r="H153" s="347"/>
      <c r="I153" s="347"/>
      <c r="J153" s="347"/>
      <c r="K153" s="347"/>
      <c r="L153" s="347"/>
      <c r="M153" s="347"/>
      <c r="N153" s="347"/>
      <c r="O153" s="347"/>
      <c r="P153" s="232"/>
      <c r="Q153" s="232"/>
      <c r="R153" s="232"/>
      <c r="S153" s="232"/>
      <c r="T153" s="232"/>
      <c r="U153" s="232"/>
      <c r="V153" s="232"/>
      <c r="W153" s="232"/>
      <c r="X153" s="67"/>
      <c r="Y153" s="67"/>
      <c r="Z153" s="67"/>
      <c r="AA153" s="67"/>
      <c r="AK153" s="11"/>
      <c r="AL153" s="11"/>
      <c r="AM153" s="69"/>
      <c r="AN153" s="70"/>
      <c r="AO153" s="46"/>
    </row>
    <row r="154" spans="2:41" ht="31.5" customHeight="1" x14ac:dyDescent="0.3">
      <c r="B154" s="156"/>
      <c r="C154" s="349" t="s">
        <v>87</v>
      </c>
      <c r="D154" s="346"/>
      <c r="E154" s="346"/>
      <c r="F154" s="352"/>
      <c r="G154" s="352"/>
      <c r="H154" s="352"/>
      <c r="I154" s="352"/>
      <c r="J154" s="352"/>
      <c r="K154" s="352"/>
      <c r="L154" s="352"/>
      <c r="M154" s="353" t="s">
        <v>88</v>
      </c>
      <c r="N154" s="389"/>
      <c r="O154" s="389"/>
      <c r="P154" s="389"/>
      <c r="Q154" s="389"/>
      <c r="R154" s="389"/>
      <c r="S154" s="389"/>
      <c r="T154" s="389"/>
      <c r="U154" s="389"/>
      <c r="V154" s="389"/>
      <c r="W154" s="389"/>
      <c r="X154" s="389"/>
      <c r="Y154" s="67"/>
      <c r="Z154" s="67"/>
      <c r="AA154" s="67"/>
      <c r="AB154" s="67"/>
      <c r="AC154" s="67"/>
      <c r="AD154" s="67"/>
      <c r="AE154" s="67"/>
      <c r="AF154" s="67"/>
      <c r="AG154" s="67"/>
      <c r="AH154" s="67"/>
      <c r="AI154" s="10"/>
      <c r="AJ154" s="11"/>
      <c r="AK154" s="11"/>
      <c r="AL154" s="11"/>
      <c r="AM154" s="69"/>
      <c r="AN154" s="70"/>
      <c r="AO154" s="46"/>
    </row>
    <row r="155" spans="2:41" ht="16.5" customHeight="1" x14ac:dyDescent="0.25">
      <c r="B155" s="156"/>
      <c r="AO155" s="46"/>
    </row>
    <row r="156" spans="2:41" ht="31.5" customHeight="1" x14ac:dyDescent="0.3">
      <c r="B156" s="156"/>
      <c r="C156" s="349" t="s">
        <v>89</v>
      </c>
      <c r="D156" s="346"/>
      <c r="E156" s="346"/>
      <c r="F156" s="350"/>
      <c r="G156" s="352"/>
      <c r="H156" s="352"/>
      <c r="I156" s="352"/>
      <c r="J156" s="352"/>
      <c r="K156" s="352"/>
      <c r="L156" s="352"/>
      <c r="M156" s="353" t="s">
        <v>88</v>
      </c>
      <c r="N156" s="389"/>
      <c r="O156" s="389"/>
      <c r="P156" s="389"/>
      <c r="Q156" s="389"/>
      <c r="R156" s="389"/>
      <c r="S156" s="389"/>
      <c r="T156" s="389"/>
      <c r="U156" s="389"/>
      <c r="V156" s="389"/>
      <c r="W156" s="389"/>
      <c r="X156" s="389"/>
      <c r="AO156" s="46"/>
    </row>
    <row r="157" spans="2:41" ht="16.5" customHeight="1" x14ac:dyDescent="0.25">
      <c r="B157" s="156"/>
      <c r="AO157" s="46"/>
    </row>
    <row r="158" spans="2:41" ht="31.5" customHeight="1" x14ac:dyDescent="0.3">
      <c r="B158" s="156"/>
      <c r="C158" s="347"/>
      <c r="D158" s="347"/>
      <c r="E158" s="347"/>
      <c r="F158" s="347"/>
      <c r="G158" s="347"/>
      <c r="H158" s="347"/>
      <c r="I158" s="347"/>
      <c r="J158" s="347"/>
      <c r="K158" s="347"/>
      <c r="L158" s="347"/>
      <c r="M158" s="347"/>
      <c r="N158" s="347"/>
      <c r="O158" s="347"/>
      <c r="P158" s="232"/>
      <c r="Q158" s="232"/>
      <c r="R158" s="232"/>
      <c r="S158" s="232"/>
      <c r="T158" s="232"/>
      <c r="U158" s="232"/>
      <c r="V158" s="232"/>
      <c r="W158" s="232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10"/>
      <c r="AJ158" s="11"/>
      <c r="AK158" s="11"/>
      <c r="AL158" s="11"/>
      <c r="AM158" s="69"/>
      <c r="AN158" s="70"/>
      <c r="AO158" s="46"/>
    </row>
    <row r="159" spans="2:41" ht="16.5" customHeight="1" x14ac:dyDescent="0.25">
      <c r="B159" s="156"/>
      <c r="AO159" s="46"/>
    </row>
    <row r="160" spans="2:41" ht="31.5" customHeight="1" x14ac:dyDescent="0.3">
      <c r="B160" s="156"/>
      <c r="C160" s="349" t="s">
        <v>90</v>
      </c>
      <c r="D160" s="346"/>
      <c r="E160" s="346"/>
      <c r="F160" s="352"/>
      <c r="G160" s="352"/>
      <c r="H160" s="352"/>
      <c r="I160" s="352"/>
      <c r="J160" s="352"/>
      <c r="K160" s="352"/>
      <c r="L160" s="352"/>
      <c r="M160" s="353" t="s">
        <v>88</v>
      </c>
      <c r="N160" s="389"/>
      <c r="O160" s="389"/>
      <c r="P160" s="389"/>
      <c r="Q160" s="389"/>
      <c r="R160" s="389"/>
      <c r="S160" s="389"/>
      <c r="T160" s="389"/>
      <c r="U160" s="389"/>
      <c r="V160" s="389"/>
      <c r="W160" s="389"/>
      <c r="X160" s="389"/>
      <c r="Y160" s="67"/>
      <c r="Z160" s="67"/>
      <c r="AA160" s="67"/>
      <c r="AB160" s="67"/>
      <c r="AC160" s="67"/>
      <c r="AD160" s="67"/>
      <c r="AE160" s="67"/>
      <c r="AF160" s="67"/>
      <c r="AG160" s="67"/>
      <c r="AH160" s="67"/>
      <c r="AI160" s="10"/>
      <c r="AJ160" s="11"/>
      <c r="AK160" s="11"/>
      <c r="AL160" s="11"/>
      <c r="AM160" s="69"/>
      <c r="AN160" s="70"/>
      <c r="AO160" s="46"/>
    </row>
    <row r="161" spans="2:41" ht="16.5" customHeight="1" x14ac:dyDescent="0.25">
      <c r="B161" s="156"/>
      <c r="N161" s="357"/>
      <c r="O161" s="357"/>
      <c r="P161" s="357"/>
      <c r="Q161" s="357"/>
      <c r="R161" s="357"/>
      <c r="S161" s="357"/>
      <c r="T161" s="357"/>
      <c r="U161" s="357"/>
      <c r="V161" s="357"/>
      <c r="W161" s="357"/>
      <c r="X161" s="357"/>
      <c r="AO161" s="46"/>
    </row>
    <row r="162" spans="2:41" ht="31.5" customHeight="1" x14ac:dyDescent="0.3">
      <c r="B162" s="156"/>
      <c r="C162" s="261" t="s">
        <v>91</v>
      </c>
      <c r="D162" s="262"/>
      <c r="E162" s="354"/>
      <c r="F162" s="354"/>
      <c r="G162" s="354"/>
      <c r="H162" s="354"/>
      <c r="I162" s="354"/>
      <c r="J162" s="354"/>
      <c r="K162" s="354"/>
      <c r="L162" s="354"/>
      <c r="M162" s="353" t="s">
        <v>88</v>
      </c>
      <c r="N162" s="390"/>
      <c r="O162" s="390"/>
      <c r="P162" s="390"/>
      <c r="Q162" s="390"/>
      <c r="R162" s="390"/>
      <c r="S162" s="390"/>
      <c r="T162" s="390"/>
      <c r="U162" s="390"/>
      <c r="V162" s="390"/>
      <c r="W162" s="390"/>
      <c r="X162" s="390"/>
      <c r="AO162" s="46"/>
    </row>
    <row r="163" spans="2:41" ht="16.5" customHeight="1" x14ac:dyDescent="0.25">
      <c r="B163" s="156"/>
      <c r="AO163" s="46"/>
    </row>
    <row r="164" spans="2:41" ht="31.5" customHeight="1" x14ac:dyDescent="0.3">
      <c r="B164" s="156"/>
      <c r="C164" s="349" t="s">
        <v>92</v>
      </c>
      <c r="D164" s="346"/>
      <c r="E164" s="346"/>
      <c r="F164" s="350"/>
      <c r="G164" s="350"/>
      <c r="H164" s="351"/>
      <c r="I164" s="351"/>
      <c r="J164" s="351"/>
      <c r="K164" s="351"/>
      <c r="L164" s="351"/>
      <c r="M164" s="353" t="s">
        <v>88</v>
      </c>
      <c r="N164" s="391"/>
      <c r="O164" s="391"/>
      <c r="P164" s="391"/>
      <c r="Q164" s="391"/>
      <c r="R164" s="391"/>
      <c r="S164" s="391"/>
      <c r="T164" s="391"/>
      <c r="U164" s="391"/>
      <c r="V164" s="391"/>
      <c r="W164" s="391"/>
      <c r="X164" s="391"/>
      <c r="AO164" s="46"/>
    </row>
    <row r="165" spans="2:41" ht="16.5" customHeight="1" x14ac:dyDescent="0.3">
      <c r="B165" s="156"/>
      <c r="C165" s="347"/>
      <c r="D165" s="347"/>
      <c r="E165" s="347"/>
      <c r="F165" s="347"/>
      <c r="G165" s="347"/>
      <c r="H165" s="347"/>
      <c r="I165" s="347"/>
      <c r="J165" s="347"/>
      <c r="K165" s="347"/>
      <c r="L165" s="347"/>
      <c r="M165" s="347"/>
      <c r="N165" s="355"/>
      <c r="O165" s="355"/>
      <c r="P165" s="356"/>
      <c r="Q165" s="356"/>
      <c r="R165" s="356"/>
      <c r="S165" s="356"/>
      <c r="T165" s="356"/>
      <c r="U165" s="356"/>
      <c r="V165" s="356"/>
      <c r="W165" s="356"/>
      <c r="X165" s="348"/>
      <c r="AO165" s="46"/>
    </row>
    <row r="166" spans="2:41" ht="31.5" customHeight="1" x14ac:dyDescent="0.25">
      <c r="B166" s="156"/>
      <c r="C166" s="347"/>
      <c r="D166" s="347"/>
      <c r="E166" s="347"/>
      <c r="F166" s="347"/>
      <c r="G166" s="347"/>
      <c r="H166" s="347"/>
      <c r="I166" s="347"/>
      <c r="J166" s="347"/>
      <c r="K166" s="347"/>
      <c r="L166" s="347"/>
      <c r="M166" s="347"/>
      <c r="N166" s="388"/>
      <c r="O166" s="388"/>
      <c r="P166" s="388"/>
      <c r="Q166" s="388"/>
      <c r="R166" s="388"/>
      <c r="S166" s="388"/>
      <c r="T166" s="388"/>
      <c r="U166" s="388"/>
      <c r="V166" s="388"/>
      <c r="W166" s="388"/>
      <c r="X166" s="388"/>
      <c r="AO166" s="46"/>
    </row>
    <row r="167" spans="2:41" ht="16.5" customHeight="1" x14ac:dyDescent="0.3">
      <c r="B167" s="156"/>
      <c r="C167" s="347"/>
      <c r="D167" s="347"/>
      <c r="E167" s="347"/>
      <c r="F167" s="347"/>
      <c r="G167" s="347"/>
      <c r="H167" s="347"/>
      <c r="I167" s="347"/>
      <c r="J167" s="347"/>
      <c r="K167" s="347"/>
      <c r="L167" s="347"/>
      <c r="M167" s="347"/>
      <c r="N167" s="355"/>
      <c r="O167" s="355"/>
      <c r="P167" s="356"/>
      <c r="Q167" s="356"/>
      <c r="R167" s="356"/>
      <c r="S167" s="356"/>
      <c r="T167" s="356"/>
      <c r="U167" s="356"/>
      <c r="V167" s="356"/>
      <c r="W167" s="356"/>
      <c r="X167" s="348"/>
      <c r="AO167" s="46"/>
    </row>
    <row r="168" spans="2:41" ht="31.5" customHeight="1" x14ac:dyDescent="0.25">
      <c r="B168" s="156"/>
      <c r="N168" s="388"/>
      <c r="O168" s="388"/>
      <c r="P168" s="388"/>
      <c r="Q168" s="388"/>
      <c r="R168" s="388"/>
      <c r="S168" s="388"/>
      <c r="T168" s="388"/>
      <c r="U168" s="388"/>
      <c r="V168" s="388"/>
      <c r="W168" s="388"/>
      <c r="X168" s="388"/>
      <c r="AO168" s="46"/>
    </row>
    <row r="169" spans="2:41" ht="16.5" customHeight="1" x14ac:dyDescent="0.25">
      <c r="B169" s="156"/>
      <c r="AO169" s="46"/>
    </row>
    <row r="170" spans="2:41" ht="31.5" customHeight="1" x14ac:dyDescent="0.25">
      <c r="B170" s="156"/>
      <c r="N170" s="388"/>
      <c r="O170" s="388"/>
      <c r="P170" s="388"/>
      <c r="Q170" s="388"/>
      <c r="R170" s="388"/>
      <c r="S170" s="388"/>
      <c r="T170" s="388"/>
      <c r="U170" s="388"/>
      <c r="V170" s="388"/>
      <c r="W170" s="388"/>
      <c r="X170" s="388"/>
      <c r="AO170" s="46"/>
    </row>
    <row r="171" spans="2:41" ht="16.5" customHeight="1" x14ac:dyDescent="0.25">
      <c r="B171" s="156"/>
      <c r="AO171" s="46"/>
    </row>
    <row r="172" spans="2:41" ht="31.5" customHeight="1" x14ac:dyDescent="0.25">
      <c r="B172" s="156"/>
      <c r="N172" s="388"/>
      <c r="O172" s="388"/>
      <c r="P172" s="388"/>
      <c r="Q172" s="388"/>
      <c r="R172" s="388"/>
      <c r="S172" s="388"/>
      <c r="T172" s="388"/>
      <c r="U172" s="388"/>
      <c r="V172" s="388"/>
      <c r="W172" s="388"/>
      <c r="X172" s="388"/>
      <c r="AO172" s="46"/>
    </row>
    <row r="173" spans="2:41" ht="31.5" customHeight="1" x14ac:dyDescent="0.25">
      <c r="B173" s="156"/>
      <c r="AO173" s="46"/>
    </row>
    <row r="174" spans="2:41" ht="31.5" customHeight="1" x14ac:dyDescent="0.3">
      <c r="B174" s="156"/>
      <c r="C174" s="385" t="s">
        <v>93</v>
      </c>
      <c r="D174" s="386"/>
      <c r="E174" s="386"/>
      <c r="F174" s="244" t="str">
        <f>PROPER(IF($AE$13="","",VLOOKUP($AE$13,matrix,16,FALSE)))</f>
        <v/>
      </c>
      <c r="G174" s="244"/>
      <c r="H174" s="244"/>
      <c r="I174" s="244"/>
      <c r="J174" s="244"/>
      <c r="K174" s="244"/>
      <c r="L174" s="244"/>
      <c r="M174" s="244"/>
      <c r="N174" s="244"/>
      <c r="O174" s="233"/>
      <c r="P174" s="233"/>
      <c r="Q174" s="232"/>
      <c r="T174" s="261" t="s">
        <v>94</v>
      </c>
      <c r="U174" s="202"/>
      <c r="V174" s="202"/>
      <c r="W174" s="262"/>
      <c r="X174" s="262"/>
      <c r="Y174" s="262"/>
      <c r="Z174" s="262"/>
      <c r="AA174" s="262"/>
      <c r="AB174" s="346"/>
      <c r="AC174" s="346"/>
      <c r="AD174" s="232"/>
      <c r="AE174" s="233"/>
      <c r="AF174" s="233"/>
      <c r="AG174" s="233"/>
      <c r="AH174" s="233"/>
      <c r="AI174" s="233"/>
      <c r="AJ174" s="233"/>
      <c r="AK174" s="233"/>
      <c r="AL174" s="233"/>
      <c r="AO174" s="46"/>
    </row>
    <row r="175" spans="2:41" ht="31.5" customHeight="1" thickBot="1" x14ac:dyDescent="0.3">
      <c r="B175" s="148"/>
      <c r="C175" s="158"/>
      <c r="D175" s="159"/>
      <c r="E175" s="159"/>
      <c r="F175" s="159"/>
      <c r="G175" s="159"/>
      <c r="H175" s="159"/>
      <c r="I175" s="159"/>
      <c r="J175" s="159"/>
      <c r="K175" s="159"/>
      <c r="L175" s="159"/>
      <c r="M175" s="159"/>
      <c r="N175" s="159"/>
      <c r="O175" s="159"/>
      <c r="P175" s="159"/>
      <c r="Q175" s="159"/>
      <c r="R175" s="159"/>
      <c r="S175" s="159"/>
      <c r="T175" s="159"/>
      <c r="U175" s="159"/>
      <c r="V175" s="159"/>
      <c r="W175" s="159"/>
      <c r="X175" s="159"/>
      <c r="Y175" s="159"/>
      <c r="Z175" s="159"/>
      <c r="AA175" s="159"/>
      <c r="AB175" s="159"/>
      <c r="AC175" s="159"/>
      <c r="AD175" s="159"/>
      <c r="AE175" s="159"/>
      <c r="AF175" s="159"/>
      <c r="AG175" s="159"/>
      <c r="AH175" s="159"/>
      <c r="AI175" s="60"/>
      <c r="AJ175" s="71"/>
      <c r="AK175" s="71"/>
      <c r="AL175" s="71"/>
      <c r="AM175" s="72"/>
      <c r="AN175" s="72"/>
      <c r="AO175" s="63"/>
    </row>
    <row r="176" spans="2:41" ht="31.5" customHeight="1" x14ac:dyDescent="0.25"/>
    <row r="177" spans="2:41" ht="31.5" customHeight="1" x14ac:dyDescent="0.25">
      <c r="B177" s="416" t="s">
        <v>95</v>
      </c>
      <c r="C177" s="416"/>
      <c r="D177" s="416"/>
      <c r="E177" s="416"/>
      <c r="F177" s="416"/>
      <c r="G177" s="416"/>
      <c r="H177" s="416"/>
      <c r="I177" s="416"/>
      <c r="J177" s="416"/>
      <c r="K177" s="416"/>
      <c r="L177" s="416"/>
      <c r="M177" s="416"/>
      <c r="N177" s="416"/>
      <c r="O177" s="416"/>
      <c r="P177" s="416"/>
      <c r="Q177" s="416"/>
      <c r="R177" s="416"/>
      <c r="S177" s="416"/>
      <c r="T177" s="416"/>
      <c r="U177" s="416"/>
      <c r="V177" s="416"/>
      <c r="W177" s="416"/>
      <c r="X177" s="416"/>
      <c r="Y177" s="416"/>
      <c r="Z177" s="416"/>
      <c r="AA177" s="416"/>
      <c r="AB177" s="416"/>
      <c r="AC177" s="416"/>
      <c r="AD177" s="416"/>
      <c r="AE177" s="416"/>
      <c r="AF177" s="416"/>
      <c r="AG177" s="416"/>
      <c r="AH177" s="416"/>
      <c r="AI177" s="416"/>
      <c r="AJ177" s="416"/>
      <c r="AK177" s="416"/>
      <c r="AL177" s="416"/>
      <c r="AM177" s="416"/>
      <c r="AN177" s="416"/>
      <c r="AO177" s="416"/>
    </row>
  </sheetData>
  <sheetProtection password="F5F4" sheet="1"/>
  <mergeCells count="202">
    <mergeCell ref="B177:AO177"/>
    <mergeCell ref="AA124:AG126"/>
    <mergeCell ref="D64:AL64"/>
    <mergeCell ref="Q53:Z53"/>
    <mergeCell ref="D75:AN76"/>
    <mergeCell ref="Y94:AC94"/>
    <mergeCell ref="B131:AO131"/>
    <mergeCell ref="AD94:AH94"/>
    <mergeCell ref="C73:I73"/>
    <mergeCell ref="E107:AN107"/>
    <mergeCell ref="B57:AO57"/>
    <mergeCell ref="C99:X99"/>
    <mergeCell ref="Y99:AC99"/>
    <mergeCell ref="AD99:AH99"/>
    <mergeCell ref="AD91:AH91"/>
    <mergeCell ref="P146:Z146"/>
    <mergeCell ref="AA146:AI146"/>
    <mergeCell ref="C142:Q142"/>
    <mergeCell ref="T142:Y142"/>
    <mergeCell ref="R142:S142"/>
    <mergeCell ref="Z142:AA142"/>
    <mergeCell ref="P144:X144"/>
    <mergeCell ref="G146:O146"/>
    <mergeCell ref="AI100:AN100"/>
    <mergeCell ref="R50:V50"/>
    <mergeCell ref="F50:L50"/>
    <mergeCell ref="C89:X89"/>
    <mergeCell ref="I79:Z79"/>
    <mergeCell ref="AF79:AN79"/>
    <mergeCell ref="M47:Q47"/>
    <mergeCell ref="F48:L48"/>
    <mergeCell ref="F47:L47"/>
    <mergeCell ref="AB53:AK53"/>
    <mergeCell ref="D60:AL60"/>
    <mergeCell ref="D61:AL61"/>
    <mergeCell ref="Y89:AC89"/>
    <mergeCell ref="AD89:AH89"/>
    <mergeCell ref="D62:AL62"/>
    <mergeCell ref="B56:AO56"/>
    <mergeCell ref="D63:AL63"/>
    <mergeCell ref="I80:Q80"/>
    <mergeCell ref="AF80:AN80"/>
    <mergeCell ref="D65:X65"/>
    <mergeCell ref="R48:V48"/>
    <mergeCell ref="M48:Q48"/>
    <mergeCell ref="W49:AL49"/>
    <mergeCell ref="D59:AL59"/>
    <mergeCell ref="F49:L49"/>
    <mergeCell ref="R49:V49"/>
    <mergeCell ref="M50:Q50"/>
    <mergeCell ref="G53:O53"/>
    <mergeCell ref="B2:AO2"/>
    <mergeCell ref="B3:AO3"/>
    <mergeCell ref="AE13:AL13"/>
    <mergeCell ref="AJ20:AL20"/>
    <mergeCell ref="W43:AL43"/>
    <mergeCell ref="H36:L36"/>
    <mergeCell ref="E20:AG21"/>
    <mergeCell ref="F41:L41"/>
    <mergeCell ref="R38:V38"/>
    <mergeCell ref="M38:Q38"/>
    <mergeCell ref="D15:AL15"/>
    <mergeCell ref="AJ26:AL26"/>
    <mergeCell ref="C7:AN7"/>
    <mergeCell ref="E26:AG27"/>
    <mergeCell ref="W40:AL40"/>
    <mergeCell ref="W41:AL41"/>
    <mergeCell ref="E23:AG24"/>
    <mergeCell ref="AJ23:AL23"/>
    <mergeCell ref="W38:AL38"/>
    <mergeCell ref="W39:AL39"/>
    <mergeCell ref="F43:L43"/>
    <mergeCell ref="W42:AL42"/>
    <mergeCell ref="R43:V43"/>
    <mergeCell ref="M43:Q43"/>
    <mergeCell ref="F36:G36"/>
    <mergeCell ref="R42:V42"/>
    <mergeCell ref="F39:L39"/>
    <mergeCell ref="M39:Q39"/>
    <mergeCell ref="F40:L40"/>
    <mergeCell ref="N36:R36"/>
    <mergeCell ref="F42:L42"/>
    <mergeCell ref="F38:L38"/>
    <mergeCell ref="M40:Q40"/>
    <mergeCell ref="M42:Q42"/>
    <mergeCell ref="M41:Q41"/>
    <mergeCell ref="R39:V39"/>
    <mergeCell ref="R40:V40"/>
    <mergeCell ref="R41:V41"/>
    <mergeCell ref="W45:AL45"/>
    <mergeCell ref="M45:Q45"/>
    <mergeCell ref="R46:V46"/>
    <mergeCell ref="R45:V45"/>
    <mergeCell ref="M46:Q46"/>
    <mergeCell ref="F44:L44"/>
    <mergeCell ref="W44:AL44"/>
    <mergeCell ref="M44:Q44"/>
    <mergeCell ref="R44:V44"/>
    <mergeCell ref="W46:AL46"/>
    <mergeCell ref="F45:L45"/>
    <mergeCell ref="W47:AL47"/>
    <mergeCell ref="W50:AL50"/>
    <mergeCell ref="M49:Q49"/>
    <mergeCell ref="R47:V47"/>
    <mergeCell ref="F46:L46"/>
    <mergeCell ref="W48:AL48"/>
    <mergeCell ref="J137:AA137"/>
    <mergeCell ref="C113:N115"/>
    <mergeCell ref="E105:AN105"/>
    <mergeCell ref="B130:AO130"/>
    <mergeCell ref="K124:S126"/>
    <mergeCell ref="T124:Z126"/>
    <mergeCell ref="C124:J126"/>
    <mergeCell ref="AH124:AO126"/>
    <mergeCell ref="AI99:AN99"/>
    <mergeCell ref="AD93:AH93"/>
    <mergeCell ref="Y93:AC93"/>
    <mergeCell ref="I81:AN81"/>
    <mergeCell ref="AI95:AN95"/>
    <mergeCell ref="C107:D107"/>
    <mergeCell ref="AI91:AN91"/>
    <mergeCell ref="AI89:AN89"/>
    <mergeCell ref="AI94:AN94"/>
    <mergeCell ref="C100:X100"/>
    <mergeCell ref="Y98:AC98"/>
    <mergeCell ref="Y91:AC91"/>
    <mergeCell ref="C104:D104"/>
    <mergeCell ref="C92:X92"/>
    <mergeCell ref="C98:X98"/>
    <mergeCell ref="C93:X93"/>
    <mergeCell ref="AI96:AN96"/>
    <mergeCell ref="AI98:AN98"/>
    <mergeCell ref="AI93:AN93"/>
    <mergeCell ref="Y95:AC95"/>
    <mergeCell ref="AD98:AH98"/>
    <mergeCell ref="E104:AN104"/>
    <mergeCell ref="AD92:AH92"/>
    <mergeCell ref="AD97:AH97"/>
    <mergeCell ref="AD95:AH95"/>
    <mergeCell ref="Y92:AC92"/>
    <mergeCell ref="C97:X97"/>
    <mergeCell ref="AD88:AH88"/>
    <mergeCell ref="C87:X88"/>
    <mergeCell ref="Y65:AI65"/>
    <mergeCell ref="H68:Z68"/>
    <mergeCell ref="AI90:AN90"/>
    <mergeCell ref="Y87:AH87"/>
    <mergeCell ref="Y88:AC88"/>
    <mergeCell ref="C83:G83"/>
    <mergeCell ref="I82:AN82"/>
    <mergeCell ref="AI87:AN88"/>
    <mergeCell ref="AF68:AN68"/>
    <mergeCell ref="C90:X90"/>
    <mergeCell ref="AD90:AH90"/>
    <mergeCell ref="B4:AO4"/>
    <mergeCell ref="L119:AN119"/>
    <mergeCell ref="Y101:AC101"/>
    <mergeCell ref="J83:U83"/>
    <mergeCell ref="Z83:AN83"/>
    <mergeCell ref="O113:Y115"/>
    <mergeCell ref="Y100:AC100"/>
    <mergeCell ref="AI97:AN97"/>
    <mergeCell ref="C96:X96"/>
    <mergeCell ref="AI92:AN92"/>
    <mergeCell ref="Y97:AC97"/>
    <mergeCell ref="C91:X91"/>
    <mergeCell ref="C94:X94"/>
    <mergeCell ref="Y96:AC96"/>
    <mergeCell ref="C95:X95"/>
    <mergeCell ref="AD96:AH96"/>
    <mergeCell ref="O112:Y112"/>
    <mergeCell ref="C101:X101"/>
    <mergeCell ref="C105:D105"/>
    <mergeCell ref="Z112:AF112"/>
    <mergeCell ref="E106:AN106"/>
    <mergeCell ref="Y90:AC90"/>
    <mergeCell ref="AD101:AH101"/>
    <mergeCell ref="AI101:AN101"/>
    <mergeCell ref="C174:E174"/>
    <mergeCell ref="AD100:AH100"/>
    <mergeCell ref="N168:X168"/>
    <mergeCell ref="N170:X170"/>
    <mergeCell ref="N172:X172"/>
    <mergeCell ref="N154:X154"/>
    <mergeCell ref="N156:X156"/>
    <mergeCell ref="N160:X160"/>
    <mergeCell ref="N162:X162"/>
    <mergeCell ref="N164:X164"/>
    <mergeCell ref="N166:X166"/>
    <mergeCell ref="C106:D106"/>
    <mergeCell ref="AG113:AO115"/>
    <mergeCell ref="Z113:AF115"/>
    <mergeCell ref="C103:AN103"/>
    <mergeCell ref="D109:R109"/>
    <mergeCell ref="L120:AN121"/>
    <mergeCell ref="K120:K121"/>
    <mergeCell ref="J138:P138"/>
    <mergeCell ref="B133:AO133"/>
    <mergeCell ref="C137:I137"/>
    <mergeCell ref="C138:I138"/>
    <mergeCell ref="B128:AO128"/>
    <mergeCell ref="AA123:AG123"/>
  </mergeCells>
  <phoneticPr fontId="46" type="noConversion"/>
  <conditionalFormatting sqref="A69:AP82 A83:C83 H83:AP83 A84:AP173 A174:C174 F174:AP174 A175:AP178">
    <cfRule type="expression" dxfId="10" priority="23" stopIfTrue="1">
      <formula>$AS$70="Hide"</formula>
    </cfRule>
  </conditionalFormatting>
  <conditionalFormatting sqref="B10:AO10 B18:AO18 B30:AO30">
    <cfRule type="expression" dxfId="9" priority="33" stopIfTrue="1">
      <formula>$AS10=1</formula>
    </cfRule>
  </conditionalFormatting>
  <conditionalFormatting sqref="C7:AN7">
    <cfRule type="expression" dxfId="8" priority="8" stopIfTrue="1">
      <formula>$AS$7="show"</formula>
    </cfRule>
  </conditionalFormatting>
  <conditionalFormatting sqref="F36:R36">
    <cfRule type="expression" dxfId="7" priority="13" stopIfTrue="1">
      <formula>$AS$34="Hide"</formula>
    </cfRule>
  </conditionalFormatting>
  <conditionalFormatting sqref="F39:AL50">
    <cfRule type="expression" dxfId="6" priority="81" stopIfTrue="1">
      <formula>$AY39="highlight period"</formula>
    </cfRule>
  </conditionalFormatting>
  <conditionalFormatting sqref="Q53:Z53">
    <cfRule type="expression" dxfId="5" priority="61" stopIfTrue="1">
      <formula>AX53&lt;&gt;""</formula>
    </cfRule>
  </conditionalFormatting>
  <conditionalFormatting sqref="Q54:Z54">
    <cfRule type="expression" dxfId="4" priority="36" stopIfTrue="1">
      <formula>$Q$53=""</formula>
    </cfRule>
  </conditionalFormatting>
  <conditionalFormatting sqref="AB53:AK53">
    <cfRule type="expression" dxfId="3" priority="71" stopIfTrue="1">
      <formula>AY53&lt;&gt;""</formula>
    </cfRule>
  </conditionalFormatting>
  <conditionalFormatting sqref="AB54:AK54">
    <cfRule type="expression" dxfId="2" priority="35" stopIfTrue="1">
      <formula>$AB$53=""</formula>
    </cfRule>
  </conditionalFormatting>
  <conditionalFormatting sqref="AJ20:AL20 AJ23:AL23 AJ26:AL26">
    <cfRule type="expression" dxfId="1" priority="22" stopIfTrue="1">
      <formula>$D20=""</formula>
    </cfRule>
  </conditionalFormatting>
  <conditionalFormatting sqref="AQ7">
    <cfRule type="expression" dxfId="0" priority="10" stopIfTrue="1">
      <formula>$AS$7="hide"</formula>
    </cfRule>
  </conditionalFormatting>
  <dataValidations count="6">
    <dataValidation type="date" allowBlank="1" showInputMessage="1" showErrorMessage="1" error="Please check the date entered is in the correct format and/or within the valid range." sqref="R39:V50" xr:uid="{338C02C9-AF41-4A20-AD32-467F65265C26}">
      <formula1>M39</formula1>
      <formula2>$N$36</formula2>
    </dataValidation>
    <dataValidation type="date" allowBlank="1" showInputMessage="1" showErrorMessage="1" error="Please check the date entered is in the correct format and/or within the valid range." sqref="M40:Q50" xr:uid="{ED0FABD0-7DD7-4B59-BF8B-617EED177DDB}">
      <formula1>R39+1</formula1>
      <formula2>$N$36</formula2>
    </dataValidation>
    <dataValidation operator="greaterThan" allowBlank="1" showInputMessage="1" showErrorMessage="1" sqref="Z113:AF115" xr:uid="{8EB387B8-8E97-472C-83DE-699689DC6601}"/>
    <dataValidation type="date" allowBlank="1" showInputMessage="1" showErrorMessage="1" error="Please check the date entered is in the correct format and/or within the valid range." sqref="M39:Q39" xr:uid="{E46F18EE-A80E-4DE2-8E31-6B51DA90DC3C}">
      <formula1>$H$36</formula1>
      <formula2>$N$36</formula2>
    </dataValidation>
    <dataValidation type="list" allowBlank="1" showInputMessage="1" showErrorMessage="1" sqref="AJ23:AL23 AJ26:AL26 AJ20:AL20" xr:uid="{5AF23B4E-E703-440E-90CB-43CBBD5FB2F7}">
      <formula1>"Yes,No"</formula1>
    </dataValidation>
    <dataValidation type="list" allowBlank="1" showInputMessage="1" showErrorMessage="1" sqref="AE13" xr:uid="{BF1872B6-BEE2-41B3-BB8E-06245EB43A1B}">
      <formula1>country_list</formula1>
    </dataValidation>
  </dataValidations>
  <hyperlinks>
    <hyperlink ref="Y65:AI65" r:id="rId1" display="https://www.iras.gov.sg/irashome/Individuals/Foreigners/Your-Situation/Working-for-Foreign-Employers/" xr:uid="{703BB272-A7BA-487E-8341-5C3157360597}"/>
  </hyperlinks>
  <printOptions horizontalCentered="1"/>
  <pageMargins left="0.19685039370078741" right="0.19685039370078741" top="0.35433070866141736" bottom="0.35433070866141736" header="0.31496062992125984" footer="0.31496062992125984"/>
  <rowBreaks count="2" manualBreakCount="2">
    <brk id="67" min="1" max="40" man="1"/>
    <brk id="134" min="1" max="4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D6959-2DE1-4590-A827-821BAE523CC7}">
  <sheetPr codeName="Sheet2">
    <pageSetUpPr fitToPage="1"/>
  </sheetPr>
  <dimension ref="A1:Q101"/>
  <sheetViews>
    <sheetView zoomScale="115" zoomScaleNormal="115" workbookViewId="0">
      <pane xSplit="2" ySplit="3" topLeftCell="C83" activePane="bottomRight" state="frozen"/>
      <selection pane="topRight" activeCell="D47" sqref="D47"/>
      <selection pane="bottomLeft" activeCell="D47" sqref="D47"/>
      <selection pane="bottomRight" activeCell="S89" sqref="S89"/>
    </sheetView>
  </sheetViews>
  <sheetFormatPr defaultRowHeight="15" x14ac:dyDescent="0.25"/>
  <cols>
    <col min="1" max="1" width="5" style="79" customWidth="1"/>
    <col min="2" max="2" width="10.7109375" customWidth="1"/>
    <col min="3" max="3" width="9.28515625" customWidth="1"/>
    <col min="4" max="4" width="10" customWidth="1"/>
    <col min="5" max="5" width="7.140625" customWidth="1"/>
    <col min="6" max="6" width="7.28515625" customWidth="1"/>
    <col min="7" max="7" width="10" customWidth="1"/>
    <col min="8" max="8" width="11.7109375" customWidth="1"/>
    <col min="9" max="9" width="12.42578125" customWidth="1"/>
    <col min="10" max="10" width="10.28515625" style="1" customWidth="1"/>
    <col min="11" max="11" width="14.7109375" style="107" customWidth="1"/>
    <col min="12" max="12" width="5.5703125" style="1" customWidth="1"/>
    <col min="13" max="13" width="7.7109375" style="1" customWidth="1"/>
    <col min="14" max="14" width="9" style="79" customWidth="1"/>
    <col min="15" max="15" width="11" style="79" customWidth="1"/>
    <col min="16" max="16" width="13.140625" style="79" customWidth="1"/>
    <col min="17" max="17" width="12.85546875" style="79" customWidth="1"/>
    <col min="18" max="18" width="18.5703125" customWidth="1"/>
    <col min="19" max="19" width="9.140625" customWidth="1"/>
  </cols>
  <sheetData>
    <row r="1" spans="1:17" x14ac:dyDescent="0.25">
      <c r="B1" s="24" t="s">
        <v>96</v>
      </c>
      <c r="C1" s="505" t="s">
        <v>97</v>
      </c>
      <c r="D1" s="505"/>
      <c r="E1" s="505"/>
      <c r="F1" s="505"/>
      <c r="G1" s="505"/>
      <c r="H1" s="505"/>
      <c r="I1" s="505"/>
      <c r="J1" s="506"/>
      <c r="K1" s="506"/>
      <c r="L1" s="506"/>
      <c r="M1" s="80"/>
      <c r="N1" s="81"/>
      <c r="O1" s="81"/>
    </row>
    <row r="2" spans="1:17" s="92" customFormat="1" ht="12" x14ac:dyDescent="0.2">
      <c r="A2" s="82"/>
      <c r="B2" s="25">
        <v>1</v>
      </c>
      <c r="C2" s="83">
        <v>2</v>
      </c>
      <c r="D2" s="83">
        <f>C2+1</f>
        <v>3</v>
      </c>
      <c r="E2" s="84">
        <f>D2+1</f>
        <v>4</v>
      </c>
      <c r="F2" s="84">
        <f>E2+1</f>
        <v>5</v>
      </c>
      <c r="G2" s="84"/>
      <c r="H2" s="85">
        <f>F2+1</f>
        <v>6</v>
      </c>
      <c r="I2" s="86">
        <v>7</v>
      </c>
      <c r="J2" s="87">
        <v>8</v>
      </c>
      <c r="K2" s="87">
        <v>9</v>
      </c>
      <c r="L2" s="88">
        <v>10</v>
      </c>
      <c r="M2" s="89"/>
      <c r="N2" s="90"/>
      <c r="O2" s="90"/>
      <c r="P2" s="91"/>
      <c r="Q2" s="91"/>
    </row>
    <row r="3" spans="1:17" s="101" customFormat="1" ht="180" x14ac:dyDescent="0.2">
      <c r="A3" s="93" t="s">
        <v>98</v>
      </c>
      <c r="B3" s="94"/>
      <c r="C3" s="95" t="s">
        <v>99</v>
      </c>
      <c r="D3" s="95" t="s">
        <v>100</v>
      </c>
      <c r="E3" s="96" t="s">
        <v>101</v>
      </c>
      <c r="F3" s="96" t="s">
        <v>102</v>
      </c>
      <c r="G3" s="96" t="s">
        <v>103</v>
      </c>
      <c r="H3" s="97" t="s">
        <v>104</v>
      </c>
      <c r="I3" s="97" t="s">
        <v>105</v>
      </c>
      <c r="J3" s="98" t="s">
        <v>106</v>
      </c>
      <c r="K3" s="98" t="s">
        <v>107</v>
      </c>
      <c r="L3" s="99" t="s">
        <v>108</v>
      </c>
      <c r="M3" s="100" t="s">
        <v>109</v>
      </c>
      <c r="N3" s="100" t="s">
        <v>110</v>
      </c>
      <c r="O3" s="100" t="s">
        <v>111</v>
      </c>
      <c r="P3" s="79" t="s">
        <v>112</v>
      </c>
      <c r="Q3" s="79"/>
    </row>
    <row r="4" spans="1:17" x14ac:dyDescent="0.25">
      <c r="A4" s="321">
        <v>1</v>
      </c>
      <c r="B4" s="322" t="s">
        <v>113</v>
      </c>
      <c r="C4" s="323"/>
      <c r="D4" s="324">
        <v>1</v>
      </c>
      <c r="E4" s="325">
        <v>1</v>
      </c>
      <c r="F4" s="325"/>
      <c r="G4" s="325"/>
      <c r="H4" s="326"/>
      <c r="I4" s="326"/>
      <c r="J4" s="327">
        <v>1</v>
      </c>
      <c r="K4" s="327"/>
      <c r="L4" s="328"/>
      <c r="M4" s="329">
        <f>SUM(C4:L4)</f>
        <v>3</v>
      </c>
      <c r="N4" s="320" t="s">
        <v>114</v>
      </c>
      <c r="O4" s="320" t="s">
        <v>115</v>
      </c>
      <c r="P4" s="330"/>
      <c r="Q4" s="79" t="str">
        <f>B4</f>
        <v>Albania</v>
      </c>
    </row>
    <row r="5" spans="1:17" x14ac:dyDescent="0.25">
      <c r="A5" s="321">
        <v>2</v>
      </c>
      <c r="B5" s="322" t="s">
        <v>116</v>
      </c>
      <c r="C5" s="323"/>
      <c r="D5" s="324">
        <v>1</v>
      </c>
      <c r="E5" s="325">
        <v>1</v>
      </c>
      <c r="F5" s="325"/>
      <c r="G5" s="325"/>
      <c r="H5" s="326"/>
      <c r="I5" s="326"/>
      <c r="J5" s="327">
        <v>1</v>
      </c>
      <c r="K5" s="327"/>
      <c r="L5" s="328"/>
      <c r="M5" s="329">
        <v>3</v>
      </c>
      <c r="N5" s="320" t="s">
        <v>117</v>
      </c>
      <c r="O5" s="320" t="s">
        <v>118</v>
      </c>
      <c r="P5" s="330"/>
      <c r="Q5" s="79" t="str">
        <f>B5</f>
        <v>Armenia</v>
      </c>
    </row>
    <row r="6" spans="1:17" x14ac:dyDescent="0.25">
      <c r="A6" s="321">
        <v>3</v>
      </c>
      <c r="B6" s="322" t="s">
        <v>119</v>
      </c>
      <c r="C6" s="323">
        <v>1</v>
      </c>
      <c r="D6" s="324"/>
      <c r="E6" s="325"/>
      <c r="F6" s="325"/>
      <c r="G6" s="325"/>
      <c r="H6" s="326"/>
      <c r="I6" s="326">
        <v>1</v>
      </c>
      <c r="J6" s="327"/>
      <c r="K6" s="327">
        <v>1</v>
      </c>
      <c r="L6" s="328"/>
      <c r="M6" s="329">
        <f>SUM(C6:L6)</f>
        <v>3</v>
      </c>
      <c r="N6" s="320" t="s">
        <v>120</v>
      </c>
      <c r="O6" s="320" t="s">
        <v>121</v>
      </c>
      <c r="P6" s="330"/>
      <c r="Q6" s="79" t="str">
        <f>B6</f>
        <v>Australia</v>
      </c>
    </row>
    <row r="7" spans="1:17" x14ac:dyDescent="0.25">
      <c r="A7" s="321">
        <v>4</v>
      </c>
      <c r="B7" s="331" t="s">
        <v>122</v>
      </c>
      <c r="C7" s="324"/>
      <c r="D7" s="324">
        <v>1</v>
      </c>
      <c r="E7" s="325">
        <v>1</v>
      </c>
      <c r="F7" s="325"/>
      <c r="G7" s="325"/>
      <c r="H7" s="326"/>
      <c r="I7" s="326"/>
      <c r="J7" s="327">
        <v>1</v>
      </c>
      <c r="K7" s="327"/>
      <c r="L7" s="328"/>
      <c r="M7" s="329">
        <f t="shared" ref="M7:M96" si="0">SUM(C7:L7)</f>
        <v>3</v>
      </c>
      <c r="N7" s="320" t="s">
        <v>123</v>
      </c>
      <c r="O7" s="320" t="s">
        <v>124</v>
      </c>
      <c r="P7" s="330"/>
      <c r="Q7" s="79" t="str">
        <f t="shared" ref="Q7:Q95" si="1">B7</f>
        <v>Austria</v>
      </c>
    </row>
    <row r="8" spans="1:17" x14ac:dyDescent="0.25">
      <c r="A8" s="321">
        <v>5</v>
      </c>
      <c r="B8" s="322" t="s">
        <v>125</v>
      </c>
      <c r="C8" s="324">
        <v>1</v>
      </c>
      <c r="D8" s="324"/>
      <c r="E8" s="325">
        <v>1</v>
      </c>
      <c r="F8" s="325"/>
      <c r="G8" s="325"/>
      <c r="H8" s="326"/>
      <c r="I8" s="326"/>
      <c r="J8" s="327">
        <v>1</v>
      </c>
      <c r="K8" s="327"/>
      <c r="L8" s="328"/>
      <c r="M8" s="329">
        <f t="shared" si="0"/>
        <v>3</v>
      </c>
      <c r="N8" s="320" t="s">
        <v>126</v>
      </c>
      <c r="O8" s="320" t="s">
        <v>127</v>
      </c>
      <c r="P8" s="330"/>
      <c r="Q8" s="79" t="str">
        <f t="shared" si="1"/>
        <v>Bahrain</v>
      </c>
    </row>
    <row r="9" spans="1:17" x14ac:dyDescent="0.25">
      <c r="A9" s="321">
        <v>6</v>
      </c>
      <c r="B9" s="322" t="s">
        <v>128</v>
      </c>
      <c r="C9" s="323">
        <v>1</v>
      </c>
      <c r="D9" s="324"/>
      <c r="E9" s="325"/>
      <c r="F9" s="325"/>
      <c r="G9" s="325"/>
      <c r="H9" s="326"/>
      <c r="I9" s="326">
        <v>1</v>
      </c>
      <c r="J9" s="327">
        <v>1</v>
      </c>
      <c r="K9" s="327"/>
      <c r="L9" s="328"/>
      <c r="M9" s="329">
        <f t="shared" si="0"/>
        <v>3</v>
      </c>
      <c r="N9" s="320" t="s">
        <v>129</v>
      </c>
      <c r="O9" s="320" t="s">
        <v>130</v>
      </c>
      <c r="P9" s="330"/>
      <c r="Q9" s="79" t="str">
        <f t="shared" si="1"/>
        <v>Bangladesh</v>
      </c>
    </row>
    <row r="10" spans="1:17" x14ac:dyDescent="0.25">
      <c r="A10" s="321">
        <v>7</v>
      </c>
      <c r="B10" s="322" t="s">
        <v>131</v>
      </c>
      <c r="C10" s="323">
        <v>1</v>
      </c>
      <c r="D10" s="324"/>
      <c r="E10" s="325">
        <v>1</v>
      </c>
      <c r="F10" s="325"/>
      <c r="G10" s="325"/>
      <c r="H10" s="326"/>
      <c r="I10" s="326"/>
      <c r="J10" s="327">
        <v>1</v>
      </c>
      <c r="K10" s="327"/>
      <c r="L10" s="328"/>
      <c r="M10" s="329">
        <v>3</v>
      </c>
      <c r="N10" s="320" t="s">
        <v>132</v>
      </c>
      <c r="O10" s="320" t="s">
        <v>133</v>
      </c>
      <c r="P10" s="358"/>
      <c r="Q10" s="79" t="str">
        <f t="shared" si="1"/>
        <v>Barbados</v>
      </c>
    </row>
    <row r="11" spans="1:17" x14ac:dyDescent="0.25">
      <c r="A11" s="321">
        <v>8</v>
      </c>
      <c r="B11" s="322" t="s">
        <v>134</v>
      </c>
      <c r="C11" s="323"/>
      <c r="D11" s="324">
        <v>1</v>
      </c>
      <c r="E11" s="325">
        <v>1</v>
      </c>
      <c r="F11" s="325"/>
      <c r="G11" s="325"/>
      <c r="H11" s="326"/>
      <c r="I11" s="326"/>
      <c r="J11" s="327">
        <v>1</v>
      </c>
      <c r="K11" s="327"/>
      <c r="L11" s="328"/>
      <c r="M11" s="329">
        <f t="shared" si="0"/>
        <v>3</v>
      </c>
      <c r="N11" s="320" t="s">
        <v>135</v>
      </c>
      <c r="O11" s="320" t="s">
        <v>136</v>
      </c>
      <c r="P11" s="330"/>
      <c r="Q11" s="79" t="str">
        <f t="shared" si="1"/>
        <v>Belarus</v>
      </c>
    </row>
    <row r="12" spans="1:17" x14ac:dyDescent="0.25">
      <c r="A12" s="321">
        <v>9</v>
      </c>
      <c r="B12" s="322" t="s">
        <v>137</v>
      </c>
      <c r="C12" s="324"/>
      <c r="D12" s="324">
        <v>1</v>
      </c>
      <c r="E12" s="325">
        <v>1</v>
      </c>
      <c r="F12" s="325"/>
      <c r="G12" s="325"/>
      <c r="H12" s="326"/>
      <c r="I12" s="326"/>
      <c r="J12" s="327">
        <v>1</v>
      </c>
      <c r="K12" s="327"/>
      <c r="L12" s="328"/>
      <c r="M12" s="329">
        <f t="shared" si="0"/>
        <v>3</v>
      </c>
      <c r="N12" s="320" t="s">
        <v>138</v>
      </c>
      <c r="O12" s="320" t="s">
        <v>139</v>
      </c>
      <c r="P12" s="330"/>
      <c r="Q12" s="79" t="str">
        <f t="shared" si="1"/>
        <v>Belgium</v>
      </c>
    </row>
    <row r="13" spans="1:17" x14ac:dyDescent="0.25">
      <c r="A13" s="321">
        <v>10</v>
      </c>
      <c r="B13" s="322" t="s">
        <v>140</v>
      </c>
      <c r="C13" s="324"/>
      <c r="D13" s="324">
        <v>1</v>
      </c>
      <c r="E13" s="325">
        <v>1</v>
      </c>
      <c r="F13" s="325"/>
      <c r="G13" s="325"/>
      <c r="H13" s="326"/>
      <c r="I13" s="326"/>
      <c r="J13" s="327">
        <v>1</v>
      </c>
      <c r="K13" s="327"/>
      <c r="L13" s="328"/>
      <c r="M13" s="329">
        <f t="shared" si="0"/>
        <v>3</v>
      </c>
      <c r="N13" s="383" t="s">
        <v>117</v>
      </c>
      <c r="O13" s="383" t="s">
        <v>141</v>
      </c>
      <c r="P13" s="330"/>
      <c r="Q13" s="79" t="str">
        <f t="shared" si="1"/>
        <v>Brazil</v>
      </c>
    </row>
    <row r="14" spans="1:17" x14ac:dyDescent="0.25">
      <c r="A14" s="321">
        <v>11</v>
      </c>
      <c r="B14" s="322" t="s">
        <v>142</v>
      </c>
      <c r="C14" s="324"/>
      <c r="D14" s="324">
        <v>1</v>
      </c>
      <c r="E14" s="325"/>
      <c r="F14" s="325">
        <v>1</v>
      </c>
      <c r="G14" s="325"/>
      <c r="H14" s="326"/>
      <c r="I14" s="326"/>
      <c r="J14" s="327">
        <v>1</v>
      </c>
      <c r="K14" s="327"/>
      <c r="L14" s="328"/>
      <c r="M14" s="329">
        <f t="shared" si="0"/>
        <v>3</v>
      </c>
      <c r="N14" s="320" t="s">
        <v>143</v>
      </c>
      <c r="O14" s="320" t="s">
        <v>144</v>
      </c>
      <c r="P14" s="330"/>
      <c r="Q14" s="79" t="str">
        <f t="shared" si="1"/>
        <v>Brunei</v>
      </c>
    </row>
    <row r="15" spans="1:17" x14ac:dyDescent="0.25">
      <c r="A15" s="321">
        <v>12</v>
      </c>
      <c r="B15" s="322" t="s">
        <v>145</v>
      </c>
      <c r="C15" s="324"/>
      <c r="D15" s="324">
        <v>1</v>
      </c>
      <c r="E15" s="325">
        <v>1</v>
      </c>
      <c r="F15" s="325"/>
      <c r="G15" s="325"/>
      <c r="H15" s="326"/>
      <c r="I15" s="326"/>
      <c r="J15" s="327">
        <v>1</v>
      </c>
      <c r="K15" s="327"/>
      <c r="L15" s="328"/>
      <c r="M15" s="329">
        <f t="shared" si="0"/>
        <v>3</v>
      </c>
      <c r="N15" s="320" t="s">
        <v>146</v>
      </c>
      <c r="O15" s="320" t="s">
        <v>147</v>
      </c>
      <c r="P15" s="330"/>
      <c r="Q15" s="79" t="str">
        <f t="shared" si="1"/>
        <v>Bulgaria</v>
      </c>
    </row>
    <row r="16" spans="1:17" x14ac:dyDescent="0.25">
      <c r="A16" s="321">
        <v>13</v>
      </c>
      <c r="B16" s="322" t="s">
        <v>148</v>
      </c>
      <c r="C16" s="324"/>
      <c r="D16" s="324">
        <v>1</v>
      </c>
      <c r="E16" s="325">
        <v>1</v>
      </c>
      <c r="F16" s="325"/>
      <c r="G16" s="325"/>
      <c r="H16" s="326"/>
      <c r="I16" s="326"/>
      <c r="J16" s="327">
        <v>1</v>
      </c>
      <c r="K16" s="327"/>
      <c r="L16" s="328"/>
      <c r="M16" s="329">
        <f t="shared" si="0"/>
        <v>3</v>
      </c>
      <c r="N16" s="320" t="s">
        <v>149</v>
      </c>
      <c r="O16" s="320" t="s">
        <v>150</v>
      </c>
      <c r="P16" s="330"/>
      <c r="Q16" s="79" t="str">
        <f t="shared" si="1"/>
        <v>Cambodia</v>
      </c>
    </row>
    <row r="17" spans="1:17" x14ac:dyDescent="0.25">
      <c r="A17" s="321">
        <v>14</v>
      </c>
      <c r="B17" s="322" t="s">
        <v>151</v>
      </c>
      <c r="C17" s="323">
        <v>1</v>
      </c>
      <c r="D17" s="324"/>
      <c r="E17" s="325"/>
      <c r="F17" s="325">
        <v>1</v>
      </c>
      <c r="G17" s="325"/>
      <c r="H17" s="326"/>
      <c r="I17" s="326"/>
      <c r="J17" s="327">
        <v>1</v>
      </c>
      <c r="K17" s="327"/>
      <c r="L17" s="328"/>
      <c r="M17" s="329">
        <f t="shared" si="0"/>
        <v>3</v>
      </c>
      <c r="N17" s="320" t="s">
        <v>152</v>
      </c>
      <c r="O17" s="320" t="s">
        <v>153</v>
      </c>
      <c r="P17" s="330" t="s">
        <v>154</v>
      </c>
      <c r="Q17" s="79" t="str">
        <f t="shared" si="1"/>
        <v>Canada</v>
      </c>
    </row>
    <row r="18" spans="1:17" x14ac:dyDescent="0.25">
      <c r="A18" s="321">
        <v>15</v>
      </c>
      <c r="B18" s="322" t="s">
        <v>155</v>
      </c>
      <c r="C18" s="323"/>
      <c r="D18" s="324"/>
      <c r="E18" s="325"/>
      <c r="F18" s="325"/>
      <c r="G18" s="325"/>
      <c r="H18" s="326"/>
      <c r="I18" s="326"/>
      <c r="J18" s="327"/>
      <c r="K18" s="327"/>
      <c r="L18" s="328"/>
      <c r="M18" s="329">
        <f t="shared" si="0"/>
        <v>0</v>
      </c>
      <c r="N18" s="332"/>
      <c r="O18" s="332"/>
      <c r="P18" s="330" t="s">
        <v>156</v>
      </c>
      <c r="Q18" s="79" t="str">
        <f t="shared" si="1"/>
        <v>Chile</v>
      </c>
    </row>
    <row r="19" spans="1:17" x14ac:dyDescent="0.25">
      <c r="A19" s="321">
        <v>16</v>
      </c>
      <c r="B19" s="322" t="s">
        <v>157</v>
      </c>
      <c r="C19" s="324"/>
      <c r="D19" s="324">
        <v>1</v>
      </c>
      <c r="E19" s="325">
        <v>1</v>
      </c>
      <c r="F19" s="325"/>
      <c r="G19" s="325"/>
      <c r="H19" s="326"/>
      <c r="I19" s="326"/>
      <c r="J19" s="327">
        <v>1</v>
      </c>
      <c r="K19" s="327"/>
      <c r="L19" s="328"/>
      <c r="M19" s="329">
        <f t="shared" si="0"/>
        <v>3</v>
      </c>
      <c r="N19" s="320" t="s">
        <v>158</v>
      </c>
      <c r="O19" s="320" t="s">
        <v>159</v>
      </c>
      <c r="P19" s="330"/>
      <c r="Q19" s="79" t="str">
        <f t="shared" si="1"/>
        <v>China</v>
      </c>
    </row>
    <row r="20" spans="1:17" x14ac:dyDescent="0.25">
      <c r="A20" s="321">
        <v>17</v>
      </c>
      <c r="B20" s="322" t="s">
        <v>160</v>
      </c>
      <c r="C20" s="324">
        <v>1</v>
      </c>
      <c r="D20" s="324"/>
      <c r="E20" s="325"/>
      <c r="F20" s="325">
        <v>1</v>
      </c>
      <c r="G20" s="325"/>
      <c r="H20" s="326"/>
      <c r="I20" s="326"/>
      <c r="J20" s="327">
        <v>1</v>
      </c>
      <c r="K20" s="327"/>
      <c r="L20" s="328"/>
      <c r="M20" s="329">
        <f t="shared" si="0"/>
        <v>3</v>
      </c>
      <c r="N20" s="320" t="s">
        <v>161</v>
      </c>
      <c r="O20" s="320" t="s">
        <v>162</v>
      </c>
      <c r="P20" s="330"/>
      <c r="Q20" s="79" t="str">
        <f t="shared" si="1"/>
        <v>Cyprus</v>
      </c>
    </row>
    <row r="21" spans="1:17" ht="23.25" x14ac:dyDescent="0.25">
      <c r="A21" s="321">
        <v>18</v>
      </c>
      <c r="B21" s="322" t="s">
        <v>163</v>
      </c>
      <c r="C21" s="324"/>
      <c r="D21" s="324">
        <v>1</v>
      </c>
      <c r="E21" s="325">
        <v>1</v>
      </c>
      <c r="F21" s="325"/>
      <c r="G21" s="325"/>
      <c r="H21" s="326"/>
      <c r="I21" s="326"/>
      <c r="J21" s="327">
        <v>1</v>
      </c>
      <c r="K21" s="327"/>
      <c r="L21" s="328"/>
      <c r="M21" s="329">
        <f t="shared" si="0"/>
        <v>3</v>
      </c>
      <c r="N21" s="320" t="s">
        <v>164</v>
      </c>
      <c r="O21" s="320" t="s">
        <v>165</v>
      </c>
      <c r="P21" s="330"/>
      <c r="Q21" s="79" t="str">
        <f t="shared" si="1"/>
        <v>Czech Republic</v>
      </c>
    </row>
    <row r="22" spans="1:17" x14ac:dyDescent="0.25">
      <c r="A22" s="321">
        <v>19</v>
      </c>
      <c r="B22" s="322" t="s">
        <v>166</v>
      </c>
      <c r="C22" s="324"/>
      <c r="D22" s="324">
        <v>1</v>
      </c>
      <c r="E22" s="325"/>
      <c r="F22" s="325">
        <v>1</v>
      </c>
      <c r="G22" s="325"/>
      <c r="H22" s="326"/>
      <c r="I22" s="326"/>
      <c r="J22" s="327">
        <v>1</v>
      </c>
      <c r="K22" s="327"/>
      <c r="L22" s="328"/>
      <c r="M22" s="329">
        <f t="shared" si="0"/>
        <v>3</v>
      </c>
      <c r="N22" s="320" t="s">
        <v>167</v>
      </c>
      <c r="O22" s="320" t="s">
        <v>168</v>
      </c>
      <c r="P22" s="330"/>
      <c r="Q22" s="79" t="str">
        <f t="shared" si="1"/>
        <v>Denmark</v>
      </c>
    </row>
    <row r="23" spans="1:17" x14ac:dyDescent="0.25">
      <c r="A23" s="321">
        <v>20</v>
      </c>
      <c r="B23" s="322" t="s">
        <v>169</v>
      </c>
      <c r="C23" s="324"/>
      <c r="D23" s="324">
        <v>1</v>
      </c>
      <c r="E23" s="325">
        <v>1</v>
      </c>
      <c r="F23" s="325"/>
      <c r="G23" s="325"/>
      <c r="H23" s="326"/>
      <c r="I23" s="326"/>
      <c r="J23" s="327">
        <v>1</v>
      </c>
      <c r="K23" s="327"/>
      <c r="L23" s="328"/>
      <c r="M23" s="329">
        <v>3</v>
      </c>
      <c r="N23" s="320" t="s">
        <v>170</v>
      </c>
      <c r="O23" s="320" t="s">
        <v>171</v>
      </c>
      <c r="P23" s="330"/>
      <c r="Q23" s="79" t="str">
        <f t="shared" si="1"/>
        <v>Ecuador</v>
      </c>
    </row>
    <row r="24" spans="1:17" x14ac:dyDescent="0.25">
      <c r="A24" s="321">
        <v>21</v>
      </c>
      <c r="B24" s="322" t="s">
        <v>172</v>
      </c>
      <c r="C24" s="324">
        <v>1</v>
      </c>
      <c r="D24" s="324"/>
      <c r="E24" s="325">
        <v>1</v>
      </c>
      <c r="F24" s="325"/>
      <c r="G24" s="325"/>
      <c r="H24" s="326"/>
      <c r="I24" s="326"/>
      <c r="J24" s="327">
        <v>1</v>
      </c>
      <c r="K24" s="327"/>
      <c r="L24" s="328"/>
      <c r="M24" s="329">
        <f t="shared" si="0"/>
        <v>3</v>
      </c>
      <c r="N24" s="320" t="s">
        <v>126</v>
      </c>
      <c r="O24" s="320" t="s">
        <v>173</v>
      </c>
      <c r="P24" s="330"/>
      <c r="Q24" s="79" t="str">
        <f t="shared" si="1"/>
        <v>Egypt</v>
      </c>
    </row>
    <row r="25" spans="1:17" x14ac:dyDescent="0.25">
      <c r="A25" s="321">
        <v>22</v>
      </c>
      <c r="B25" s="322" t="s">
        <v>174</v>
      </c>
      <c r="C25" s="324"/>
      <c r="D25" s="324">
        <v>1</v>
      </c>
      <c r="E25" s="325">
        <v>1</v>
      </c>
      <c r="F25" s="325"/>
      <c r="G25" s="325"/>
      <c r="H25" s="326"/>
      <c r="I25" s="326"/>
      <c r="J25" s="327">
        <v>1</v>
      </c>
      <c r="K25" s="327"/>
      <c r="L25" s="328"/>
      <c r="M25" s="329">
        <f t="shared" si="0"/>
        <v>3</v>
      </c>
      <c r="N25" s="320" t="s">
        <v>158</v>
      </c>
      <c r="O25" s="320" t="s">
        <v>159</v>
      </c>
      <c r="P25" s="330"/>
      <c r="Q25" s="79" t="str">
        <f t="shared" si="1"/>
        <v>Estonia</v>
      </c>
    </row>
    <row r="26" spans="1:17" x14ac:dyDescent="0.25">
      <c r="A26" s="321">
        <v>23</v>
      </c>
      <c r="B26" s="322" t="s">
        <v>175</v>
      </c>
      <c r="C26" s="324"/>
      <c r="D26" s="324">
        <v>1</v>
      </c>
      <c r="E26" s="325">
        <v>1</v>
      </c>
      <c r="F26" s="325"/>
      <c r="G26" s="325"/>
      <c r="H26" s="326"/>
      <c r="I26" s="326"/>
      <c r="J26" s="327">
        <v>1</v>
      </c>
      <c r="K26" s="327"/>
      <c r="L26" s="328"/>
      <c r="M26" s="329">
        <f t="shared" si="0"/>
        <v>3</v>
      </c>
      <c r="N26" s="320" t="s">
        <v>149</v>
      </c>
      <c r="O26" s="320" t="s">
        <v>150</v>
      </c>
      <c r="P26" s="330"/>
      <c r="Q26" s="79" t="str">
        <f t="shared" si="1"/>
        <v>Ethiopia</v>
      </c>
    </row>
    <row r="27" spans="1:17" x14ac:dyDescent="0.25">
      <c r="A27" s="321">
        <v>24</v>
      </c>
      <c r="B27" s="322" t="s">
        <v>176</v>
      </c>
      <c r="C27" s="324"/>
      <c r="D27" s="324">
        <v>1</v>
      </c>
      <c r="E27" s="325">
        <v>1</v>
      </c>
      <c r="F27" s="325"/>
      <c r="G27" s="325"/>
      <c r="H27" s="326"/>
      <c r="I27" s="326"/>
      <c r="J27" s="327">
        <v>1</v>
      </c>
      <c r="K27" s="327"/>
      <c r="L27" s="328"/>
      <c r="M27" s="329">
        <f t="shared" si="0"/>
        <v>3</v>
      </c>
      <c r="N27" s="320" t="s">
        <v>143</v>
      </c>
      <c r="O27" s="320" t="s">
        <v>144</v>
      </c>
      <c r="P27" s="330"/>
      <c r="Q27" s="79" t="str">
        <f t="shared" si="1"/>
        <v>Fiji</v>
      </c>
    </row>
    <row r="28" spans="1:17" x14ac:dyDescent="0.25">
      <c r="A28" s="321">
        <v>25</v>
      </c>
      <c r="B28" s="322" t="s">
        <v>177</v>
      </c>
      <c r="C28" s="324"/>
      <c r="D28" s="324">
        <v>1</v>
      </c>
      <c r="E28" s="325">
        <v>1</v>
      </c>
      <c r="F28" s="325"/>
      <c r="G28" s="325"/>
      <c r="H28" s="326"/>
      <c r="I28" s="326"/>
      <c r="J28" s="327">
        <v>1</v>
      </c>
      <c r="K28" s="327"/>
      <c r="L28" s="328"/>
      <c r="M28" s="329">
        <f t="shared" si="0"/>
        <v>3</v>
      </c>
      <c r="N28" s="320" t="s">
        <v>123</v>
      </c>
      <c r="O28" s="320" t="s">
        <v>178</v>
      </c>
      <c r="P28" s="330"/>
      <c r="Q28" s="79" t="str">
        <f t="shared" si="1"/>
        <v>Finland</v>
      </c>
    </row>
    <row r="29" spans="1:17" x14ac:dyDescent="0.25">
      <c r="A29" s="321">
        <v>26</v>
      </c>
      <c r="B29" s="322" t="s">
        <v>179</v>
      </c>
      <c r="C29" s="323"/>
      <c r="D29" s="324">
        <v>1</v>
      </c>
      <c r="E29" s="325">
        <v>1</v>
      </c>
      <c r="F29" s="325"/>
      <c r="G29" s="325"/>
      <c r="H29" s="326"/>
      <c r="I29" s="326"/>
      <c r="J29" s="327">
        <v>1</v>
      </c>
      <c r="K29" s="327"/>
      <c r="L29" s="328"/>
      <c r="M29" s="329">
        <f t="shared" si="0"/>
        <v>3</v>
      </c>
      <c r="N29" s="320" t="s">
        <v>180</v>
      </c>
      <c r="O29" s="320" t="s">
        <v>181</v>
      </c>
      <c r="P29" s="344"/>
      <c r="Q29" s="79" t="str">
        <f t="shared" si="1"/>
        <v>France</v>
      </c>
    </row>
    <row r="30" spans="1:17" x14ac:dyDescent="0.25">
      <c r="A30" s="321">
        <v>27</v>
      </c>
      <c r="B30" s="322" t="s">
        <v>182</v>
      </c>
      <c r="C30" s="323">
        <v>1</v>
      </c>
      <c r="D30" s="324"/>
      <c r="E30" s="325">
        <v>1</v>
      </c>
      <c r="F30" s="325"/>
      <c r="G30" s="325"/>
      <c r="H30" s="326"/>
      <c r="I30" s="326"/>
      <c r="J30" s="327">
        <v>1</v>
      </c>
      <c r="K30" s="327"/>
      <c r="L30" s="328"/>
      <c r="M30" s="329">
        <f t="shared" si="0"/>
        <v>3</v>
      </c>
      <c r="N30" s="320" t="s">
        <v>183</v>
      </c>
      <c r="O30" s="320" t="s">
        <v>184</v>
      </c>
      <c r="P30" s="330"/>
      <c r="Q30" s="79" t="str">
        <f t="shared" si="1"/>
        <v>Georgia</v>
      </c>
    </row>
    <row r="31" spans="1:17" x14ac:dyDescent="0.25">
      <c r="A31" s="321">
        <v>28</v>
      </c>
      <c r="B31" s="322" t="s">
        <v>185</v>
      </c>
      <c r="C31" s="324"/>
      <c r="D31" s="324">
        <v>1</v>
      </c>
      <c r="E31" s="325">
        <v>1</v>
      </c>
      <c r="F31" s="325"/>
      <c r="G31" s="325"/>
      <c r="H31" s="326"/>
      <c r="I31" s="326"/>
      <c r="J31" s="327">
        <v>1</v>
      </c>
      <c r="K31" s="327"/>
      <c r="L31" s="328">
        <v>1</v>
      </c>
      <c r="M31" s="329">
        <f t="shared" si="0"/>
        <v>4</v>
      </c>
      <c r="N31" s="320" t="s">
        <v>143</v>
      </c>
      <c r="O31" s="320" t="s">
        <v>144</v>
      </c>
      <c r="P31" s="330"/>
      <c r="Q31" s="79" t="str">
        <f t="shared" si="1"/>
        <v>Germany</v>
      </c>
    </row>
    <row r="32" spans="1:17" x14ac:dyDescent="0.25">
      <c r="A32" s="321">
        <v>29</v>
      </c>
      <c r="B32" s="322" t="s">
        <v>186</v>
      </c>
      <c r="C32" s="324"/>
      <c r="D32" s="324">
        <v>1</v>
      </c>
      <c r="E32" s="325">
        <v>1</v>
      </c>
      <c r="F32" s="325"/>
      <c r="G32" s="325"/>
      <c r="H32" s="326"/>
      <c r="I32" s="326"/>
      <c r="J32" s="327">
        <v>1</v>
      </c>
      <c r="K32" s="327"/>
      <c r="L32" s="328"/>
      <c r="M32" s="329">
        <f t="shared" si="0"/>
        <v>3</v>
      </c>
      <c r="N32" s="320" t="s">
        <v>187</v>
      </c>
      <c r="O32" s="320" t="s">
        <v>188</v>
      </c>
      <c r="P32" s="330"/>
      <c r="Q32" s="79" t="str">
        <f t="shared" si="1"/>
        <v>Ghana</v>
      </c>
    </row>
    <row r="33" spans="1:17" x14ac:dyDescent="0.25">
      <c r="A33" s="321">
        <v>30</v>
      </c>
      <c r="B33" s="322" t="s">
        <v>189</v>
      </c>
      <c r="C33" s="324"/>
      <c r="D33" s="324">
        <v>1</v>
      </c>
      <c r="E33" s="325">
        <v>1</v>
      </c>
      <c r="F33" s="325"/>
      <c r="G33" s="325"/>
      <c r="H33" s="326"/>
      <c r="I33" s="326"/>
      <c r="J33" s="327">
        <v>1</v>
      </c>
      <c r="K33" s="327"/>
      <c r="L33" s="328"/>
      <c r="M33" s="329">
        <f t="shared" si="0"/>
        <v>3</v>
      </c>
      <c r="N33" s="320" t="s">
        <v>190</v>
      </c>
      <c r="O33" s="320" t="s">
        <v>191</v>
      </c>
      <c r="P33" s="330"/>
      <c r="Q33" s="79" t="str">
        <f t="shared" si="1"/>
        <v>Greece</v>
      </c>
    </row>
    <row r="34" spans="1:17" x14ac:dyDescent="0.25">
      <c r="A34" s="321">
        <v>31</v>
      </c>
      <c r="B34" s="322" t="s">
        <v>192</v>
      </c>
      <c r="C34" s="324"/>
      <c r="D34" s="324">
        <v>1</v>
      </c>
      <c r="E34" s="325">
        <v>1</v>
      </c>
      <c r="F34" s="325"/>
      <c r="G34" s="325"/>
      <c r="H34" s="326"/>
      <c r="I34" s="326"/>
      <c r="J34" s="327">
        <v>1</v>
      </c>
      <c r="K34" s="327"/>
      <c r="L34" s="328"/>
      <c r="M34" s="329">
        <f t="shared" si="0"/>
        <v>3</v>
      </c>
      <c r="N34" s="320" t="s">
        <v>135</v>
      </c>
      <c r="O34" s="320" t="s">
        <v>193</v>
      </c>
      <c r="P34" s="330"/>
      <c r="Q34" s="79" t="str">
        <f t="shared" si="1"/>
        <v>Guernsey</v>
      </c>
    </row>
    <row r="35" spans="1:17" x14ac:dyDescent="0.25">
      <c r="A35" s="321">
        <v>32</v>
      </c>
      <c r="B35" s="322" t="s">
        <v>194</v>
      </c>
      <c r="C35" s="324"/>
      <c r="D35" s="324"/>
      <c r="E35" s="325"/>
      <c r="F35" s="325"/>
      <c r="G35" s="325"/>
      <c r="H35" s="326"/>
      <c r="I35" s="326"/>
      <c r="J35" s="327"/>
      <c r="K35" s="327"/>
      <c r="L35" s="328"/>
      <c r="M35" s="329">
        <f t="shared" si="0"/>
        <v>0</v>
      </c>
      <c r="N35" s="332"/>
      <c r="O35" s="332"/>
      <c r="P35" s="330" t="s">
        <v>156</v>
      </c>
      <c r="Q35" s="79" t="str">
        <f t="shared" si="1"/>
        <v>Hong Kong</v>
      </c>
    </row>
    <row r="36" spans="1:17" x14ac:dyDescent="0.25">
      <c r="A36" s="321">
        <v>33</v>
      </c>
      <c r="B36" s="322" t="s">
        <v>195</v>
      </c>
      <c r="C36" s="324"/>
      <c r="D36" s="324">
        <v>1</v>
      </c>
      <c r="E36" s="325">
        <v>1</v>
      </c>
      <c r="F36" s="325"/>
      <c r="G36" s="325"/>
      <c r="H36" s="326"/>
      <c r="I36" s="326"/>
      <c r="J36" s="327">
        <v>1</v>
      </c>
      <c r="K36" s="327"/>
      <c r="L36" s="328"/>
      <c r="M36" s="329">
        <f t="shared" si="0"/>
        <v>3</v>
      </c>
      <c r="N36" s="320" t="s">
        <v>164</v>
      </c>
      <c r="O36" s="320" t="s">
        <v>165</v>
      </c>
      <c r="P36" s="330"/>
      <c r="Q36" s="79" t="str">
        <f t="shared" si="1"/>
        <v>Hungary</v>
      </c>
    </row>
    <row r="37" spans="1:17" x14ac:dyDescent="0.25">
      <c r="A37" s="321">
        <v>34</v>
      </c>
      <c r="B37" s="322" t="s">
        <v>196</v>
      </c>
      <c r="C37" s="324">
        <v>1</v>
      </c>
      <c r="D37" s="324"/>
      <c r="E37" s="325">
        <v>1</v>
      </c>
      <c r="F37" s="325"/>
      <c r="G37" s="325"/>
      <c r="H37" s="326"/>
      <c r="I37" s="326"/>
      <c r="J37" s="327">
        <v>1</v>
      </c>
      <c r="K37" s="327"/>
      <c r="L37" s="328"/>
      <c r="M37" s="329">
        <f t="shared" si="0"/>
        <v>3</v>
      </c>
      <c r="N37" s="320" t="s">
        <v>197</v>
      </c>
      <c r="O37" s="320" t="s">
        <v>198</v>
      </c>
      <c r="P37" s="330"/>
      <c r="Q37" s="79" t="str">
        <f t="shared" si="1"/>
        <v>India</v>
      </c>
    </row>
    <row r="38" spans="1:17" x14ac:dyDescent="0.25">
      <c r="A38" s="321">
        <v>35</v>
      </c>
      <c r="B38" s="322" t="s">
        <v>199</v>
      </c>
      <c r="C38" s="324"/>
      <c r="D38" s="324">
        <v>1</v>
      </c>
      <c r="E38" s="325"/>
      <c r="F38" s="325">
        <v>1</v>
      </c>
      <c r="G38" s="325"/>
      <c r="H38" s="326"/>
      <c r="I38" s="326"/>
      <c r="J38" s="327">
        <v>1</v>
      </c>
      <c r="K38" s="327"/>
      <c r="L38" s="328"/>
      <c r="M38" s="329">
        <f t="shared" si="0"/>
        <v>3</v>
      </c>
      <c r="N38" s="320" t="s">
        <v>117</v>
      </c>
      <c r="O38" s="320" t="s">
        <v>118</v>
      </c>
      <c r="P38" s="330"/>
      <c r="Q38" s="79" t="str">
        <f t="shared" si="1"/>
        <v>Indonesia</v>
      </c>
    </row>
    <row r="39" spans="1:17" x14ac:dyDescent="0.25">
      <c r="A39" s="321">
        <v>36</v>
      </c>
      <c r="B39" s="322" t="s">
        <v>200</v>
      </c>
      <c r="C39" s="324">
        <v>1</v>
      </c>
      <c r="D39" s="324"/>
      <c r="E39" s="325">
        <v>1</v>
      </c>
      <c r="F39" s="325"/>
      <c r="G39" s="325"/>
      <c r="H39" s="326"/>
      <c r="I39" s="326"/>
      <c r="J39" s="327">
        <v>1</v>
      </c>
      <c r="K39" s="327"/>
      <c r="L39" s="333"/>
      <c r="M39" s="319">
        <v>3</v>
      </c>
      <c r="N39" s="320" t="s">
        <v>183</v>
      </c>
      <c r="O39" s="320" t="s">
        <v>201</v>
      </c>
      <c r="P39" s="330"/>
      <c r="Q39" s="79" t="str">
        <f t="shared" si="1"/>
        <v>Ireland</v>
      </c>
    </row>
    <row r="40" spans="1:17" x14ac:dyDescent="0.25">
      <c r="A40" s="321">
        <v>37</v>
      </c>
      <c r="B40" s="322" t="s">
        <v>202</v>
      </c>
      <c r="C40" s="324"/>
      <c r="D40" s="324">
        <v>1</v>
      </c>
      <c r="E40" s="325">
        <v>1</v>
      </c>
      <c r="F40" s="325"/>
      <c r="G40" s="325"/>
      <c r="H40" s="326"/>
      <c r="I40" s="326"/>
      <c r="J40" s="327">
        <v>1</v>
      </c>
      <c r="K40" s="327"/>
      <c r="L40" s="333"/>
      <c r="M40" s="319">
        <v>3</v>
      </c>
      <c r="N40" s="320" t="s">
        <v>135</v>
      </c>
      <c r="O40" s="320" t="s">
        <v>193</v>
      </c>
      <c r="P40" s="330"/>
      <c r="Q40" s="79" t="str">
        <f t="shared" si="1"/>
        <v>Isle of Man</v>
      </c>
    </row>
    <row r="41" spans="1:17" x14ac:dyDescent="0.25">
      <c r="A41" s="321">
        <v>38</v>
      </c>
      <c r="B41" s="322" t="s">
        <v>203</v>
      </c>
      <c r="C41" s="324">
        <v>1</v>
      </c>
      <c r="D41" s="324"/>
      <c r="E41" s="325">
        <v>1</v>
      </c>
      <c r="F41" s="325"/>
      <c r="G41" s="325"/>
      <c r="H41" s="326"/>
      <c r="I41" s="326"/>
      <c r="J41" s="327">
        <v>1</v>
      </c>
      <c r="K41" s="327"/>
      <c r="L41" s="328"/>
      <c r="M41" s="329">
        <f t="shared" si="0"/>
        <v>3</v>
      </c>
      <c r="N41" s="320" t="s">
        <v>204</v>
      </c>
      <c r="O41" s="320" t="s">
        <v>205</v>
      </c>
      <c r="P41" s="330"/>
      <c r="Q41" s="79" t="str">
        <f t="shared" si="1"/>
        <v>Israel</v>
      </c>
    </row>
    <row r="42" spans="1:17" x14ac:dyDescent="0.25">
      <c r="A42" s="321">
        <v>39</v>
      </c>
      <c r="B42" s="322" t="s">
        <v>206</v>
      </c>
      <c r="C42" s="323">
        <v>1</v>
      </c>
      <c r="D42" s="324"/>
      <c r="E42" s="325"/>
      <c r="F42" s="325">
        <v>1</v>
      </c>
      <c r="G42" s="325"/>
      <c r="H42" s="326"/>
      <c r="I42" s="326"/>
      <c r="J42" s="327">
        <v>1</v>
      </c>
      <c r="K42" s="327"/>
      <c r="L42" s="328"/>
      <c r="M42" s="329">
        <f t="shared" si="0"/>
        <v>3</v>
      </c>
      <c r="N42" s="320" t="s">
        <v>207</v>
      </c>
      <c r="O42" s="320" t="s">
        <v>208</v>
      </c>
      <c r="P42" s="330"/>
      <c r="Q42" s="79" t="str">
        <f t="shared" si="1"/>
        <v>Italy</v>
      </c>
    </row>
    <row r="43" spans="1:17" x14ac:dyDescent="0.25">
      <c r="A43" s="321">
        <v>40</v>
      </c>
      <c r="B43" s="322" t="s">
        <v>209</v>
      </c>
      <c r="C43" s="324"/>
      <c r="D43" s="324">
        <v>1</v>
      </c>
      <c r="E43" s="325">
        <v>1</v>
      </c>
      <c r="F43" s="325"/>
      <c r="G43" s="325"/>
      <c r="H43" s="326"/>
      <c r="I43" s="326"/>
      <c r="J43" s="327">
        <v>1</v>
      </c>
      <c r="K43" s="327"/>
      <c r="L43" s="328"/>
      <c r="M43" s="329">
        <f>SUM(C43:L43)</f>
        <v>3</v>
      </c>
      <c r="N43" s="320" t="s">
        <v>210</v>
      </c>
      <c r="O43" s="320" t="s">
        <v>211</v>
      </c>
      <c r="P43" s="330"/>
      <c r="Q43" s="79" t="str">
        <f t="shared" si="1"/>
        <v>Japan</v>
      </c>
    </row>
    <row r="44" spans="1:17" x14ac:dyDescent="0.25">
      <c r="A44" s="321">
        <v>41</v>
      </c>
      <c r="B44" s="322" t="s">
        <v>212</v>
      </c>
      <c r="C44" s="324">
        <v>1</v>
      </c>
      <c r="D44" s="324"/>
      <c r="E44" s="325">
        <v>1</v>
      </c>
      <c r="F44" s="325"/>
      <c r="G44" s="325"/>
      <c r="H44" s="326"/>
      <c r="I44" s="326"/>
      <c r="J44" s="327">
        <v>1</v>
      </c>
      <c r="K44" s="327"/>
      <c r="L44" s="328"/>
      <c r="M44" s="329">
        <f>SUM(C44:L44)</f>
        <v>3</v>
      </c>
      <c r="N44" s="320" t="s">
        <v>135</v>
      </c>
      <c r="O44" s="320" t="s">
        <v>193</v>
      </c>
      <c r="P44" s="330"/>
      <c r="Q44" s="79" t="str">
        <f t="shared" si="1"/>
        <v>Jersey</v>
      </c>
    </row>
    <row r="45" spans="1:17" x14ac:dyDescent="0.25">
      <c r="A45" s="321">
        <v>42</v>
      </c>
      <c r="B45" s="322" t="s">
        <v>213</v>
      </c>
      <c r="C45" s="324"/>
      <c r="D45" s="324">
        <v>1</v>
      </c>
      <c r="E45" s="325">
        <v>1</v>
      </c>
      <c r="F45" s="325"/>
      <c r="G45" s="325"/>
      <c r="H45" s="326"/>
      <c r="I45" s="326"/>
      <c r="J45" s="327">
        <v>1</v>
      </c>
      <c r="K45" s="327"/>
      <c r="L45" s="328"/>
      <c r="M45" s="329">
        <v>3</v>
      </c>
      <c r="N45" s="320" t="s">
        <v>117</v>
      </c>
      <c r="O45" s="320" t="s">
        <v>141</v>
      </c>
      <c r="P45" s="330"/>
      <c r="Q45" s="79" t="str">
        <f t="shared" si="1"/>
        <v>Jordan</v>
      </c>
    </row>
    <row r="46" spans="1:17" x14ac:dyDescent="0.25">
      <c r="A46" s="321">
        <v>43</v>
      </c>
      <c r="B46" s="322" t="s">
        <v>214</v>
      </c>
      <c r="C46" s="324"/>
      <c r="D46" s="324">
        <v>1</v>
      </c>
      <c r="E46" s="325">
        <v>1</v>
      </c>
      <c r="F46" s="325"/>
      <c r="G46" s="325"/>
      <c r="H46" s="326"/>
      <c r="I46" s="326"/>
      <c r="J46" s="327">
        <v>1</v>
      </c>
      <c r="K46" s="327"/>
      <c r="L46" s="328"/>
      <c r="M46" s="329">
        <f t="shared" si="0"/>
        <v>3</v>
      </c>
      <c r="N46" s="320" t="s">
        <v>158</v>
      </c>
      <c r="O46" s="320" t="s">
        <v>159</v>
      </c>
      <c r="P46" s="330"/>
      <c r="Q46" s="79" t="str">
        <f t="shared" si="1"/>
        <v>Kazakhstan</v>
      </c>
    </row>
    <row r="47" spans="1:17" x14ac:dyDescent="0.25">
      <c r="A47" s="321">
        <v>44</v>
      </c>
      <c r="B47" s="382" t="s">
        <v>215</v>
      </c>
      <c r="C47" s="337"/>
      <c r="D47" s="337">
        <v>1</v>
      </c>
      <c r="E47" s="338">
        <v>1</v>
      </c>
      <c r="F47" s="338"/>
      <c r="G47" s="338"/>
      <c r="H47" s="339"/>
      <c r="I47" s="339"/>
      <c r="J47" s="340">
        <v>1</v>
      </c>
      <c r="K47" s="340"/>
      <c r="L47" s="341"/>
      <c r="M47" s="342">
        <f t="shared" si="0"/>
        <v>3</v>
      </c>
      <c r="N47" s="343" t="s">
        <v>216</v>
      </c>
      <c r="O47" s="343" t="s">
        <v>217</v>
      </c>
      <c r="P47" s="344" t="s">
        <v>218</v>
      </c>
      <c r="Q47" s="344" t="str">
        <f t="shared" si="1"/>
        <v>Kenya</v>
      </c>
    </row>
    <row r="48" spans="1:17" x14ac:dyDescent="0.25">
      <c r="A48" s="321">
        <v>45</v>
      </c>
      <c r="B48" s="322" t="s">
        <v>219</v>
      </c>
      <c r="C48" s="324">
        <v>1</v>
      </c>
      <c r="D48" s="324"/>
      <c r="E48" s="325">
        <v>1</v>
      </c>
      <c r="F48" s="325"/>
      <c r="G48" s="325"/>
      <c r="H48" s="326"/>
      <c r="I48" s="326"/>
      <c r="J48" s="327">
        <v>1</v>
      </c>
      <c r="K48" s="327"/>
      <c r="L48" s="328"/>
      <c r="M48" s="329">
        <f t="shared" si="0"/>
        <v>3</v>
      </c>
      <c r="N48" s="320" t="s">
        <v>220</v>
      </c>
      <c r="O48" s="320" t="s">
        <v>221</v>
      </c>
      <c r="P48" s="330"/>
      <c r="Q48" s="79" t="str">
        <f t="shared" si="1"/>
        <v>Kuwait</v>
      </c>
    </row>
    <row r="49" spans="1:17" x14ac:dyDescent="0.25">
      <c r="A49" s="321">
        <v>46</v>
      </c>
      <c r="B49" s="322" t="s">
        <v>222</v>
      </c>
      <c r="C49" s="324"/>
      <c r="D49" s="324">
        <v>1</v>
      </c>
      <c r="E49" s="325">
        <v>1</v>
      </c>
      <c r="F49" s="325"/>
      <c r="G49" s="325"/>
      <c r="H49" s="326"/>
      <c r="I49" s="326"/>
      <c r="J49" s="327">
        <v>1</v>
      </c>
      <c r="K49" s="327"/>
      <c r="L49" s="328"/>
      <c r="M49" s="329">
        <v>3</v>
      </c>
      <c r="N49" s="320" t="s">
        <v>180</v>
      </c>
      <c r="O49" s="320" t="s">
        <v>181</v>
      </c>
      <c r="P49" s="344"/>
      <c r="Q49" s="79" t="str">
        <f t="shared" si="1"/>
        <v>Laos</v>
      </c>
    </row>
    <row r="50" spans="1:17" x14ac:dyDescent="0.25">
      <c r="A50" s="321">
        <v>47</v>
      </c>
      <c r="B50" s="322" t="s">
        <v>223</v>
      </c>
      <c r="C50" s="324"/>
      <c r="D50" s="324">
        <v>1</v>
      </c>
      <c r="E50" s="325">
        <v>1</v>
      </c>
      <c r="F50" s="325"/>
      <c r="G50" s="325"/>
      <c r="H50" s="326"/>
      <c r="I50" s="326"/>
      <c r="J50" s="327">
        <v>1</v>
      </c>
      <c r="K50" s="327"/>
      <c r="L50" s="328"/>
      <c r="M50" s="329">
        <f t="shared" si="0"/>
        <v>3</v>
      </c>
      <c r="N50" s="320" t="s">
        <v>167</v>
      </c>
      <c r="O50" s="320" t="s">
        <v>168</v>
      </c>
      <c r="P50" s="330"/>
      <c r="Q50" s="79" t="str">
        <f t="shared" si="1"/>
        <v>Latvia</v>
      </c>
    </row>
    <row r="51" spans="1:17" x14ac:dyDescent="0.25">
      <c r="A51" s="321">
        <v>48</v>
      </c>
      <c r="B51" s="322" t="s">
        <v>224</v>
      </c>
      <c r="C51" s="324">
        <v>1</v>
      </c>
      <c r="D51" s="324"/>
      <c r="E51" s="325">
        <v>1</v>
      </c>
      <c r="F51" s="325"/>
      <c r="G51" s="325"/>
      <c r="H51" s="326"/>
      <c r="I51" s="326"/>
      <c r="J51" s="327">
        <v>1</v>
      </c>
      <c r="K51" s="327"/>
      <c r="L51" s="328"/>
      <c r="M51" s="329">
        <f t="shared" si="0"/>
        <v>3</v>
      </c>
      <c r="N51" s="320" t="s">
        <v>183</v>
      </c>
      <c r="O51" s="320" t="s">
        <v>184</v>
      </c>
      <c r="P51" s="330"/>
      <c r="Q51" s="79" t="str">
        <f t="shared" si="1"/>
        <v>Libya</v>
      </c>
    </row>
    <row r="52" spans="1:17" x14ac:dyDescent="0.25">
      <c r="A52" s="321">
        <v>49</v>
      </c>
      <c r="B52" s="322" t="s">
        <v>225</v>
      </c>
      <c r="C52" s="324"/>
      <c r="D52" s="324">
        <v>1</v>
      </c>
      <c r="E52" s="325">
        <v>1</v>
      </c>
      <c r="F52" s="325"/>
      <c r="G52" s="325"/>
      <c r="H52" s="326"/>
      <c r="I52" s="326"/>
      <c r="J52" s="327">
        <v>1</v>
      </c>
      <c r="K52" s="327"/>
      <c r="L52" s="328"/>
      <c r="M52" s="329">
        <v>3</v>
      </c>
      <c r="N52" s="320" t="s">
        <v>132</v>
      </c>
      <c r="O52" s="320" t="s">
        <v>133</v>
      </c>
      <c r="P52" s="358"/>
      <c r="Q52" s="79" t="str">
        <f t="shared" si="1"/>
        <v>Liechtenstein</v>
      </c>
    </row>
    <row r="53" spans="1:17" x14ac:dyDescent="0.25">
      <c r="A53" s="321">
        <v>50</v>
      </c>
      <c r="B53" s="322" t="s">
        <v>226</v>
      </c>
      <c r="C53" s="324"/>
      <c r="D53" s="324">
        <v>1</v>
      </c>
      <c r="E53" s="325">
        <v>1</v>
      </c>
      <c r="F53" s="325"/>
      <c r="G53" s="325"/>
      <c r="H53" s="326"/>
      <c r="I53" s="326"/>
      <c r="J53" s="327">
        <v>1</v>
      </c>
      <c r="K53" s="327"/>
      <c r="L53" s="328"/>
      <c r="M53" s="329">
        <f t="shared" si="0"/>
        <v>3</v>
      </c>
      <c r="N53" s="320" t="s">
        <v>126</v>
      </c>
      <c r="O53" s="320" t="s">
        <v>173</v>
      </c>
      <c r="P53" s="330"/>
      <c r="Q53" s="79" t="str">
        <f t="shared" si="1"/>
        <v>Lithuania</v>
      </c>
    </row>
    <row r="54" spans="1:17" x14ac:dyDescent="0.25">
      <c r="A54" s="321">
        <v>51</v>
      </c>
      <c r="B54" s="322" t="s">
        <v>227</v>
      </c>
      <c r="C54" s="323"/>
      <c r="D54" s="324">
        <v>1</v>
      </c>
      <c r="E54" s="325">
        <v>1</v>
      </c>
      <c r="F54" s="325"/>
      <c r="G54" s="325"/>
      <c r="H54" s="326"/>
      <c r="I54" s="326"/>
      <c r="J54" s="327">
        <v>1</v>
      </c>
      <c r="K54" s="327"/>
      <c r="L54" s="328"/>
      <c r="M54" s="329">
        <v>3</v>
      </c>
      <c r="N54" s="320" t="s">
        <v>170</v>
      </c>
      <c r="O54" s="320" t="s">
        <v>171</v>
      </c>
      <c r="P54" s="330"/>
      <c r="Q54" s="79" t="str">
        <f t="shared" si="1"/>
        <v>Luxembourg</v>
      </c>
    </row>
    <row r="55" spans="1:17" x14ac:dyDescent="0.25">
      <c r="A55" s="321">
        <v>52</v>
      </c>
      <c r="B55" s="322" t="s">
        <v>228</v>
      </c>
      <c r="C55" s="323">
        <v>1</v>
      </c>
      <c r="D55" s="324"/>
      <c r="E55" s="325">
        <v>1</v>
      </c>
      <c r="F55" s="325"/>
      <c r="G55" s="325"/>
      <c r="H55" s="326"/>
      <c r="I55" s="326"/>
      <c r="J55" s="327">
        <v>1</v>
      </c>
      <c r="K55" s="327"/>
      <c r="L55" s="328"/>
      <c r="M55" s="329">
        <f t="shared" si="0"/>
        <v>3</v>
      </c>
      <c r="N55" s="320" t="s">
        <v>143</v>
      </c>
      <c r="O55" s="320" t="s">
        <v>144</v>
      </c>
      <c r="P55" s="330"/>
      <c r="Q55" s="79" t="str">
        <f t="shared" si="1"/>
        <v>Malaysia</v>
      </c>
    </row>
    <row r="56" spans="1:17" x14ac:dyDescent="0.25">
      <c r="A56" s="321">
        <v>53</v>
      </c>
      <c r="B56" s="322" t="s">
        <v>229</v>
      </c>
      <c r="C56" s="324"/>
      <c r="D56" s="324">
        <v>1</v>
      </c>
      <c r="E56" s="325">
        <v>1</v>
      </c>
      <c r="F56" s="325"/>
      <c r="G56" s="325"/>
      <c r="H56" s="326"/>
      <c r="I56" s="326"/>
      <c r="J56" s="327">
        <v>1</v>
      </c>
      <c r="K56" s="327"/>
      <c r="L56" s="328"/>
      <c r="M56" s="329">
        <f t="shared" si="0"/>
        <v>3</v>
      </c>
      <c r="N56" s="320" t="s">
        <v>138</v>
      </c>
      <c r="O56" s="320" t="s">
        <v>139</v>
      </c>
      <c r="P56" s="330"/>
      <c r="Q56" s="79" t="str">
        <f t="shared" si="1"/>
        <v>Malta</v>
      </c>
    </row>
    <row r="57" spans="1:17" x14ac:dyDescent="0.25">
      <c r="A57" s="321">
        <v>54</v>
      </c>
      <c r="B57" s="322" t="s">
        <v>230</v>
      </c>
      <c r="C57" s="324">
        <v>1</v>
      </c>
      <c r="D57" s="324"/>
      <c r="E57" s="325">
        <v>1</v>
      </c>
      <c r="F57" s="325"/>
      <c r="G57" s="325"/>
      <c r="H57" s="326"/>
      <c r="I57" s="326"/>
      <c r="J57" s="327">
        <v>1</v>
      </c>
      <c r="K57" s="327"/>
      <c r="L57" s="328"/>
      <c r="M57" s="329">
        <f t="shared" si="0"/>
        <v>3</v>
      </c>
      <c r="N57" s="334" t="s">
        <v>231</v>
      </c>
      <c r="O57" s="320" t="s">
        <v>232</v>
      </c>
      <c r="P57" s="330"/>
      <c r="Q57" s="79" t="str">
        <f t="shared" si="1"/>
        <v>Mauritius</v>
      </c>
    </row>
    <row r="58" spans="1:17" x14ac:dyDescent="0.25">
      <c r="A58" s="321">
        <v>55</v>
      </c>
      <c r="B58" s="322" t="s">
        <v>233</v>
      </c>
      <c r="C58" s="324"/>
      <c r="D58" s="324">
        <v>1</v>
      </c>
      <c r="E58" s="325">
        <v>1</v>
      </c>
      <c r="F58" s="325"/>
      <c r="G58" s="325"/>
      <c r="H58" s="326"/>
      <c r="I58" s="326"/>
      <c r="J58" s="327">
        <v>1</v>
      </c>
      <c r="K58" s="327"/>
      <c r="L58" s="328"/>
      <c r="M58" s="329">
        <f t="shared" si="0"/>
        <v>3</v>
      </c>
      <c r="N58" s="320" t="s">
        <v>210</v>
      </c>
      <c r="O58" s="320" t="s">
        <v>234</v>
      </c>
      <c r="P58" s="330"/>
      <c r="Q58" s="79" t="str">
        <f t="shared" si="1"/>
        <v>Mexico</v>
      </c>
    </row>
    <row r="59" spans="1:17" x14ac:dyDescent="0.25">
      <c r="A59" s="321">
        <v>56</v>
      </c>
      <c r="B59" s="322" t="s">
        <v>235</v>
      </c>
      <c r="C59" s="324"/>
      <c r="D59" s="324">
        <v>1</v>
      </c>
      <c r="E59" s="325">
        <v>1</v>
      </c>
      <c r="F59" s="325"/>
      <c r="G59" s="325"/>
      <c r="H59" s="326"/>
      <c r="I59" s="326"/>
      <c r="J59" s="327">
        <v>1</v>
      </c>
      <c r="K59" s="327"/>
      <c r="L59" s="328"/>
      <c r="M59" s="329">
        <f t="shared" si="0"/>
        <v>3</v>
      </c>
      <c r="N59" s="320" t="s">
        <v>126</v>
      </c>
      <c r="O59" s="320" t="s">
        <v>127</v>
      </c>
      <c r="P59" s="330"/>
      <c r="Q59" s="79" t="str">
        <f t="shared" si="1"/>
        <v>Mongolia</v>
      </c>
    </row>
    <row r="60" spans="1:17" x14ac:dyDescent="0.25">
      <c r="A60" s="321">
        <v>57</v>
      </c>
      <c r="B60" s="322" t="s">
        <v>236</v>
      </c>
      <c r="C60" s="324"/>
      <c r="D60" s="324">
        <v>1</v>
      </c>
      <c r="E60" s="325">
        <v>1</v>
      </c>
      <c r="F60" s="325"/>
      <c r="G60" s="325"/>
      <c r="H60" s="326"/>
      <c r="I60" s="326"/>
      <c r="J60" s="327">
        <v>1</v>
      </c>
      <c r="K60" s="327"/>
      <c r="L60" s="328"/>
      <c r="M60" s="329">
        <v>3</v>
      </c>
      <c r="N60" s="320" t="s">
        <v>132</v>
      </c>
      <c r="O60" s="320" t="s">
        <v>237</v>
      </c>
      <c r="P60" s="358"/>
      <c r="Q60" s="79" t="str">
        <f t="shared" si="1"/>
        <v>Morocco</v>
      </c>
    </row>
    <row r="61" spans="1:17" x14ac:dyDescent="0.25">
      <c r="A61" s="321">
        <v>58</v>
      </c>
      <c r="B61" s="322" t="s">
        <v>238</v>
      </c>
      <c r="C61" s="324">
        <v>1</v>
      </c>
      <c r="D61" s="324"/>
      <c r="E61" s="325">
        <v>1</v>
      </c>
      <c r="F61" s="325"/>
      <c r="G61" s="325"/>
      <c r="H61" s="326">
        <v>1</v>
      </c>
      <c r="I61" s="326"/>
      <c r="J61" s="327">
        <v>1</v>
      </c>
      <c r="K61" s="327"/>
      <c r="L61" s="328"/>
      <c r="M61" s="329">
        <f t="shared" si="0"/>
        <v>4</v>
      </c>
      <c r="N61" s="320" t="s">
        <v>239</v>
      </c>
      <c r="O61" s="320" t="s">
        <v>240</v>
      </c>
      <c r="P61" s="330"/>
      <c r="Q61" s="79" t="str">
        <f t="shared" si="1"/>
        <v>Myanmar</v>
      </c>
    </row>
    <row r="62" spans="1:17" x14ac:dyDescent="0.25">
      <c r="A62" s="321">
        <v>59</v>
      </c>
      <c r="B62" s="322" t="s">
        <v>241</v>
      </c>
      <c r="C62" s="323">
        <v>1</v>
      </c>
      <c r="D62" s="324"/>
      <c r="E62" s="325">
        <v>1</v>
      </c>
      <c r="F62" s="325"/>
      <c r="G62" s="325"/>
      <c r="H62" s="326"/>
      <c r="I62" s="326"/>
      <c r="J62" s="327">
        <v>1</v>
      </c>
      <c r="K62" s="327"/>
      <c r="L62" s="328"/>
      <c r="M62" s="329">
        <f t="shared" si="0"/>
        <v>3</v>
      </c>
      <c r="N62" s="320" t="s">
        <v>242</v>
      </c>
      <c r="O62" s="320" t="s">
        <v>243</v>
      </c>
      <c r="P62" s="330"/>
      <c r="Q62" s="79" t="str">
        <f>CONCATENATE("the ",B62)</f>
        <v>the Netherlands</v>
      </c>
    </row>
    <row r="63" spans="1:17" x14ac:dyDescent="0.25">
      <c r="A63" s="321">
        <v>60</v>
      </c>
      <c r="B63" s="322" t="s">
        <v>244</v>
      </c>
      <c r="C63" s="324"/>
      <c r="D63" s="324">
        <v>1</v>
      </c>
      <c r="E63" s="325">
        <v>1</v>
      </c>
      <c r="F63" s="325"/>
      <c r="G63" s="325"/>
      <c r="H63" s="326"/>
      <c r="I63" s="326"/>
      <c r="J63" s="327">
        <v>1</v>
      </c>
      <c r="K63" s="327">
        <v>1</v>
      </c>
      <c r="L63" s="328"/>
      <c r="M63" s="329">
        <f t="shared" si="0"/>
        <v>4</v>
      </c>
      <c r="N63" s="320" t="s">
        <v>183</v>
      </c>
      <c r="O63" s="320" t="s">
        <v>201</v>
      </c>
      <c r="P63" s="330" t="s">
        <v>245</v>
      </c>
      <c r="Q63" s="79" t="str">
        <f t="shared" si="1"/>
        <v>New Zealand</v>
      </c>
    </row>
    <row r="64" spans="1:17" x14ac:dyDescent="0.25">
      <c r="A64" s="321">
        <v>61</v>
      </c>
      <c r="B64" s="322" t="s">
        <v>246</v>
      </c>
      <c r="C64" s="324"/>
      <c r="D64" s="324">
        <v>1</v>
      </c>
      <c r="E64" s="325">
        <v>1</v>
      </c>
      <c r="F64" s="325"/>
      <c r="G64" s="325"/>
      <c r="H64" s="326"/>
      <c r="I64" s="326"/>
      <c r="J64" s="327">
        <v>1</v>
      </c>
      <c r="K64" s="327"/>
      <c r="L64" s="328"/>
      <c r="M64" s="329">
        <f t="shared" si="0"/>
        <v>3</v>
      </c>
      <c r="N64" s="320" t="s">
        <v>247</v>
      </c>
      <c r="O64" s="320" t="s">
        <v>248</v>
      </c>
      <c r="P64" s="330"/>
      <c r="Q64" s="79" t="str">
        <f t="shared" si="1"/>
        <v>Nigeria</v>
      </c>
    </row>
    <row r="65" spans="1:17" x14ac:dyDescent="0.25">
      <c r="A65" s="321">
        <v>62</v>
      </c>
      <c r="B65" s="322" t="s">
        <v>249</v>
      </c>
      <c r="C65" s="324"/>
      <c r="D65" s="324">
        <v>1</v>
      </c>
      <c r="E65" s="325"/>
      <c r="F65" s="325"/>
      <c r="G65" s="325">
        <v>1</v>
      </c>
      <c r="H65" s="326"/>
      <c r="I65" s="326"/>
      <c r="J65" s="327">
        <v>1</v>
      </c>
      <c r="K65" s="327"/>
      <c r="L65" s="328"/>
      <c r="M65" s="329">
        <f t="shared" si="0"/>
        <v>3</v>
      </c>
      <c r="N65" s="320" t="s">
        <v>164</v>
      </c>
      <c r="O65" s="320" t="s">
        <v>250</v>
      </c>
      <c r="P65" s="330"/>
      <c r="Q65" s="79" t="str">
        <f t="shared" si="1"/>
        <v>Norway</v>
      </c>
    </row>
    <row r="66" spans="1:17" x14ac:dyDescent="0.25">
      <c r="A66" s="321">
        <v>63</v>
      </c>
      <c r="B66" s="322" t="s">
        <v>251</v>
      </c>
      <c r="C66" s="324"/>
      <c r="D66" s="324">
        <v>1</v>
      </c>
      <c r="E66" s="325">
        <v>1</v>
      </c>
      <c r="F66" s="325"/>
      <c r="G66" s="325"/>
      <c r="H66" s="326"/>
      <c r="I66" s="326"/>
      <c r="J66" s="327">
        <v>1</v>
      </c>
      <c r="K66" s="327"/>
      <c r="L66" s="328"/>
      <c r="M66" s="329">
        <f t="shared" si="0"/>
        <v>3</v>
      </c>
      <c r="N66" s="320" t="s">
        <v>143</v>
      </c>
      <c r="O66" s="320" t="s">
        <v>252</v>
      </c>
      <c r="P66" s="330"/>
      <c r="Q66" s="79" t="str">
        <f t="shared" si="1"/>
        <v>Oman</v>
      </c>
    </row>
    <row r="67" spans="1:17" x14ac:dyDescent="0.25">
      <c r="A67" s="321">
        <v>64</v>
      </c>
      <c r="B67" s="322" t="s">
        <v>253</v>
      </c>
      <c r="C67" s="323"/>
      <c r="D67" s="324">
        <v>1</v>
      </c>
      <c r="E67" s="325"/>
      <c r="F67" s="325"/>
      <c r="G67" s="325"/>
      <c r="H67" s="326"/>
      <c r="I67" s="326">
        <v>1</v>
      </c>
      <c r="J67" s="327">
        <v>1</v>
      </c>
      <c r="K67" s="327"/>
      <c r="L67" s="328">
        <v>1</v>
      </c>
      <c r="M67" s="329">
        <f t="shared" si="0"/>
        <v>4</v>
      </c>
      <c r="N67" s="320" t="s">
        <v>254</v>
      </c>
      <c r="O67" s="320" t="s">
        <v>255</v>
      </c>
      <c r="P67" s="330"/>
      <c r="Q67" s="79" t="str">
        <f t="shared" si="1"/>
        <v>Pakistan</v>
      </c>
    </row>
    <row r="68" spans="1:17" x14ac:dyDescent="0.25">
      <c r="A68" s="321">
        <v>65</v>
      </c>
      <c r="B68" s="322" t="s">
        <v>256</v>
      </c>
      <c r="C68" s="323"/>
      <c r="D68" s="324">
        <v>1</v>
      </c>
      <c r="E68" s="325">
        <v>1</v>
      </c>
      <c r="F68" s="325"/>
      <c r="G68" s="325"/>
      <c r="H68" s="326"/>
      <c r="I68" s="326"/>
      <c r="J68" s="327">
        <v>1</v>
      </c>
      <c r="K68" s="327"/>
      <c r="L68" s="328"/>
      <c r="M68" s="329">
        <f t="shared" si="0"/>
        <v>3</v>
      </c>
      <c r="N68" s="320" t="s">
        <v>114</v>
      </c>
      <c r="O68" s="320" t="s">
        <v>115</v>
      </c>
      <c r="P68" s="330"/>
      <c r="Q68" s="79" t="str">
        <f t="shared" si="1"/>
        <v>Panama</v>
      </c>
    </row>
    <row r="69" spans="1:17" ht="23.25" x14ac:dyDescent="0.25">
      <c r="A69" s="321">
        <v>66</v>
      </c>
      <c r="B69" s="322" t="s">
        <v>257</v>
      </c>
      <c r="C69" s="324">
        <v>1</v>
      </c>
      <c r="D69" s="324"/>
      <c r="E69" s="325">
        <v>1</v>
      </c>
      <c r="F69" s="325"/>
      <c r="G69" s="325"/>
      <c r="H69" s="326"/>
      <c r="I69" s="335"/>
      <c r="J69" s="327">
        <v>1</v>
      </c>
      <c r="K69" s="327"/>
      <c r="L69" s="328"/>
      <c r="M69" s="329">
        <f t="shared" si="0"/>
        <v>3</v>
      </c>
      <c r="N69" s="320" t="s">
        <v>258</v>
      </c>
      <c r="O69" s="320" t="s">
        <v>259</v>
      </c>
      <c r="P69" s="330"/>
      <c r="Q69" s="79" t="str">
        <f t="shared" si="1"/>
        <v>Papua New Guinea</v>
      </c>
    </row>
    <row r="70" spans="1:17" x14ac:dyDescent="0.25">
      <c r="A70" s="321">
        <v>67</v>
      </c>
      <c r="B70" s="322" t="s">
        <v>260</v>
      </c>
      <c r="C70" s="323">
        <v>1</v>
      </c>
      <c r="D70" s="324"/>
      <c r="E70" s="325"/>
      <c r="F70" s="325">
        <v>1</v>
      </c>
      <c r="G70" s="325"/>
      <c r="H70" s="326"/>
      <c r="I70" s="326"/>
      <c r="J70" s="327">
        <v>1</v>
      </c>
      <c r="K70" s="327"/>
      <c r="L70" s="328"/>
      <c r="M70" s="329">
        <f t="shared" si="0"/>
        <v>3</v>
      </c>
      <c r="N70" s="320" t="s">
        <v>152</v>
      </c>
      <c r="O70" s="320" t="s">
        <v>261</v>
      </c>
      <c r="P70" s="330"/>
      <c r="Q70" s="79" t="str">
        <f>CONCATENATE("the ",B70)</f>
        <v>the Philippines</v>
      </c>
    </row>
    <row r="71" spans="1:17" x14ac:dyDescent="0.25">
      <c r="A71" s="321">
        <v>68</v>
      </c>
      <c r="B71" s="322" t="s">
        <v>262</v>
      </c>
      <c r="C71" s="324"/>
      <c r="D71" s="324">
        <v>1</v>
      </c>
      <c r="E71" s="325">
        <v>1</v>
      </c>
      <c r="F71" s="325"/>
      <c r="G71" s="325"/>
      <c r="H71" s="326"/>
      <c r="I71" s="326"/>
      <c r="J71" s="327">
        <v>1</v>
      </c>
      <c r="K71" s="327"/>
      <c r="L71" s="328"/>
      <c r="M71" s="329">
        <f t="shared" si="0"/>
        <v>3</v>
      </c>
      <c r="N71" s="320" t="s">
        <v>132</v>
      </c>
      <c r="O71" s="320" t="s">
        <v>237</v>
      </c>
      <c r="P71" s="344"/>
      <c r="Q71" s="79" t="str">
        <f t="shared" si="1"/>
        <v>Poland</v>
      </c>
    </row>
    <row r="72" spans="1:17" x14ac:dyDescent="0.25">
      <c r="A72" s="321">
        <v>69</v>
      </c>
      <c r="B72" s="322" t="s">
        <v>263</v>
      </c>
      <c r="C72" s="324"/>
      <c r="D72" s="324">
        <v>1</v>
      </c>
      <c r="E72" s="325">
        <v>1</v>
      </c>
      <c r="F72" s="325"/>
      <c r="G72" s="325"/>
      <c r="H72" s="326"/>
      <c r="I72" s="326"/>
      <c r="J72" s="327">
        <v>1</v>
      </c>
      <c r="K72" s="327"/>
      <c r="L72" s="328"/>
      <c r="M72" s="329">
        <f t="shared" si="0"/>
        <v>3</v>
      </c>
      <c r="N72" s="320" t="s">
        <v>161</v>
      </c>
      <c r="O72" s="320" t="s">
        <v>264</v>
      </c>
      <c r="P72" s="330"/>
      <c r="Q72" s="79" t="str">
        <f t="shared" si="1"/>
        <v>Portugal</v>
      </c>
    </row>
    <row r="73" spans="1:17" x14ac:dyDescent="0.25">
      <c r="A73" s="321">
        <v>70</v>
      </c>
      <c r="B73" s="322" t="s">
        <v>265</v>
      </c>
      <c r="C73" s="324"/>
      <c r="D73" s="324">
        <v>1</v>
      </c>
      <c r="E73" s="325">
        <v>1</v>
      </c>
      <c r="F73" s="325"/>
      <c r="G73" s="325"/>
      <c r="H73" s="326"/>
      <c r="I73" s="326"/>
      <c r="J73" s="327">
        <v>1</v>
      </c>
      <c r="K73" s="327"/>
      <c r="L73" s="328"/>
      <c r="M73" s="329">
        <f t="shared" si="0"/>
        <v>3</v>
      </c>
      <c r="N73" s="320" t="s">
        <v>158</v>
      </c>
      <c r="O73" s="320" t="s">
        <v>266</v>
      </c>
      <c r="P73" s="330"/>
      <c r="Q73" s="79" t="str">
        <f t="shared" si="1"/>
        <v>Qatar</v>
      </c>
    </row>
    <row r="74" spans="1:17" x14ac:dyDescent="0.25">
      <c r="A74" s="321">
        <v>71</v>
      </c>
      <c r="B74" s="322" t="s">
        <v>267</v>
      </c>
      <c r="C74" s="324"/>
      <c r="D74" s="324">
        <v>1</v>
      </c>
      <c r="E74" s="325"/>
      <c r="F74" s="325">
        <v>1</v>
      </c>
      <c r="G74" s="325"/>
      <c r="H74" s="326"/>
      <c r="I74" s="326"/>
      <c r="J74" s="327">
        <v>1</v>
      </c>
      <c r="K74" s="327"/>
      <c r="L74" s="328"/>
      <c r="M74" s="329">
        <f t="shared" si="0"/>
        <v>3</v>
      </c>
      <c r="N74" s="320" t="s">
        <v>123</v>
      </c>
      <c r="O74" s="320" t="s">
        <v>124</v>
      </c>
      <c r="P74" s="330"/>
      <c r="Q74" s="79" t="str">
        <f t="shared" si="1"/>
        <v>Romania</v>
      </c>
    </row>
    <row r="75" spans="1:17" ht="23.25" x14ac:dyDescent="0.25">
      <c r="A75" s="321">
        <v>72</v>
      </c>
      <c r="B75" s="322" t="s">
        <v>268</v>
      </c>
      <c r="C75" s="324"/>
      <c r="D75" s="324">
        <v>1</v>
      </c>
      <c r="E75" s="325">
        <v>1</v>
      </c>
      <c r="F75" s="325"/>
      <c r="G75" s="325"/>
      <c r="H75" s="326"/>
      <c r="I75" s="326"/>
      <c r="J75" s="327">
        <v>1</v>
      </c>
      <c r="K75" s="327"/>
      <c r="L75" s="328"/>
      <c r="M75" s="329">
        <f t="shared" si="0"/>
        <v>3</v>
      </c>
      <c r="N75" s="320" t="s">
        <v>239</v>
      </c>
      <c r="O75" s="320" t="s">
        <v>240</v>
      </c>
      <c r="P75" s="330"/>
      <c r="Q75" s="79" t="str">
        <f t="shared" si="1"/>
        <v>Russia Federation</v>
      </c>
    </row>
    <row r="76" spans="1:17" x14ac:dyDescent="0.25">
      <c r="A76" s="321">
        <v>73</v>
      </c>
      <c r="B76" s="322" t="s">
        <v>269</v>
      </c>
      <c r="C76" s="324"/>
      <c r="D76" s="324">
        <v>1</v>
      </c>
      <c r="E76" s="325">
        <v>1</v>
      </c>
      <c r="F76" s="325"/>
      <c r="G76" s="325"/>
      <c r="H76" s="326"/>
      <c r="I76" s="326"/>
      <c r="J76" s="327">
        <v>1</v>
      </c>
      <c r="K76" s="327"/>
      <c r="L76" s="328"/>
      <c r="M76" s="329">
        <f t="shared" si="0"/>
        <v>3</v>
      </c>
      <c r="N76" s="320" t="s">
        <v>180</v>
      </c>
      <c r="O76" s="320" t="s">
        <v>181</v>
      </c>
      <c r="P76" s="344"/>
      <c r="Q76" s="79" t="str">
        <f t="shared" si="1"/>
        <v>Rwanda</v>
      </c>
    </row>
    <row r="77" spans="1:17" x14ac:dyDescent="0.25">
      <c r="A77" s="321">
        <v>74</v>
      </c>
      <c r="B77" s="322" t="s">
        <v>270</v>
      </c>
      <c r="C77" s="324">
        <v>1</v>
      </c>
      <c r="D77" s="324"/>
      <c r="E77" s="325">
        <v>1</v>
      </c>
      <c r="F77" s="325"/>
      <c r="G77" s="325"/>
      <c r="H77" s="326"/>
      <c r="I77" s="326"/>
      <c r="J77" s="327">
        <v>1</v>
      </c>
      <c r="K77" s="327"/>
      <c r="L77" s="328"/>
      <c r="M77" s="329">
        <f t="shared" si="0"/>
        <v>3</v>
      </c>
      <c r="N77" s="320" t="s">
        <v>170</v>
      </c>
      <c r="O77" s="320" t="s">
        <v>171</v>
      </c>
      <c r="P77" s="330"/>
      <c r="Q77" s="79" t="str">
        <f t="shared" si="1"/>
        <v>San Marino</v>
      </c>
    </row>
    <row r="78" spans="1:17" x14ac:dyDescent="0.25">
      <c r="A78" s="321">
        <v>75</v>
      </c>
      <c r="B78" s="322" t="s">
        <v>271</v>
      </c>
      <c r="C78" s="324"/>
      <c r="D78" s="324">
        <v>1</v>
      </c>
      <c r="E78" s="325">
        <v>1</v>
      </c>
      <c r="F78" s="325"/>
      <c r="G78" s="325"/>
      <c r="H78" s="326"/>
      <c r="I78" s="326"/>
      <c r="J78" s="327">
        <v>1</v>
      </c>
      <c r="K78" s="327"/>
      <c r="L78" s="328"/>
      <c r="M78" s="329">
        <f t="shared" si="0"/>
        <v>3</v>
      </c>
      <c r="N78" s="320" t="s">
        <v>114</v>
      </c>
      <c r="O78" s="320" t="s">
        <v>115</v>
      </c>
      <c r="P78" s="330" t="s">
        <v>272</v>
      </c>
      <c r="Q78" s="79" t="str">
        <f t="shared" si="1"/>
        <v>Saudi Arabia</v>
      </c>
    </row>
    <row r="79" spans="1:17" x14ac:dyDescent="0.25">
      <c r="A79" s="321">
        <v>76</v>
      </c>
      <c r="B79" s="322" t="s">
        <v>273</v>
      </c>
      <c r="C79" s="324"/>
      <c r="D79" s="324">
        <v>1</v>
      </c>
      <c r="E79" s="325">
        <v>1</v>
      </c>
      <c r="F79" s="325"/>
      <c r="G79" s="325"/>
      <c r="H79" s="326"/>
      <c r="I79" s="326"/>
      <c r="J79" s="327">
        <v>1</v>
      </c>
      <c r="K79" s="327"/>
      <c r="L79" s="328"/>
      <c r="M79" s="329">
        <f t="shared" si="0"/>
        <v>3</v>
      </c>
      <c r="N79" s="320" t="s">
        <v>117</v>
      </c>
      <c r="O79" s="320" t="s">
        <v>141</v>
      </c>
      <c r="P79" s="330"/>
      <c r="Q79" s="79" t="str">
        <f t="shared" si="1"/>
        <v>Serbia</v>
      </c>
    </row>
    <row r="80" spans="1:17" x14ac:dyDescent="0.25">
      <c r="A80" s="321">
        <v>77</v>
      </c>
      <c r="B80" s="322" t="s">
        <v>274</v>
      </c>
      <c r="C80" s="324">
        <v>1</v>
      </c>
      <c r="D80" s="324"/>
      <c r="E80" s="325">
        <v>1</v>
      </c>
      <c r="F80" s="325"/>
      <c r="G80" s="325"/>
      <c r="H80" s="326"/>
      <c r="I80" s="326"/>
      <c r="J80" s="327">
        <v>1</v>
      </c>
      <c r="K80" s="327"/>
      <c r="L80" s="328"/>
      <c r="M80" s="329">
        <f t="shared" si="0"/>
        <v>3</v>
      </c>
      <c r="N80" s="320" t="s">
        <v>170</v>
      </c>
      <c r="O80" s="320" t="s">
        <v>171</v>
      </c>
      <c r="P80" s="330"/>
      <c r="Q80" s="79" t="str">
        <f t="shared" si="1"/>
        <v>Seychelles</v>
      </c>
    </row>
    <row r="81" spans="1:17" ht="23.25" x14ac:dyDescent="0.25">
      <c r="A81" s="321">
        <v>78</v>
      </c>
      <c r="B81" s="322" t="s">
        <v>275</v>
      </c>
      <c r="C81" s="324"/>
      <c r="D81" s="324">
        <v>1</v>
      </c>
      <c r="E81" s="325">
        <v>1</v>
      </c>
      <c r="F81" s="325"/>
      <c r="G81" s="325"/>
      <c r="H81" s="326"/>
      <c r="I81" s="326"/>
      <c r="J81" s="327">
        <v>1</v>
      </c>
      <c r="K81" s="327"/>
      <c r="L81" s="328"/>
      <c r="M81" s="329">
        <f t="shared" si="0"/>
        <v>3</v>
      </c>
      <c r="N81" s="320" t="s">
        <v>143</v>
      </c>
      <c r="O81" s="320" t="s">
        <v>252</v>
      </c>
      <c r="P81" s="330"/>
      <c r="Q81" s="79" t="str">
        <f t="shared" si="1"/>
        <v>Slovak Republic</v>
      </c>
    </row>
    <row r="82" spans="1:17" x14ac:dyDescent="0.25">
      <c r="A82" s="321">
        <v>79</v>
      </c>
      <c r="B82" s="322" t="s">
        <v>276</v>
      </c>
      <c r="C82" s="324"/>
      <c r="D82" s="324">
        <v>1</v>
      </c>
      <c r="E82" s="325">
        <v>1</v>
      </c>
      <c r="F82" s="325"/>
      <c r="G82" s="325"/>
      <c r="H82" s="326"/>
      <c r="I82" s="326"/>
      <c r="J82" s="327">
        <v>1</v>
      </c>
      <c r="K82" s="327"/>
      <c r="L82" s="328"/>
      <c r="M82" s="329">
        <f t="shared" si="0"/>
        <v>3</v>
      </c>
      <c r="N82" s="320" t="s">
        <v>183</v>
      </c>
      <c r="O82" s="320" t="s">
        <v>201</v>
      </c>
      <c r="P82" s="330"/>
      <c r="Q82" s="79" t="str">
        <f t="shared" si="1"/>
        <v>Slovenia</v>
      </c>
    </row>
    <row r="83" spans="1:17" x14ac:dyDescent="0.25">
      <c r="A83" s="321">
        <v>80</v>
      </c>
      <c r="B83" s="322" t="s">
        <v>277</v>
      </c>
      <c r="C83" s="324"/>
      <c r="D83" s="324">
        <v>1</v>
      </c>
      <c r="E83" s="325">
        <v>1</v>
      </c>
      <c r="F83" s="325"/>
      <c r="G83" s="325"/>
      <c r="H83" s="326"/>
      <c r="I83" s="326"/>
      <c r="J83" s="327">
        <v>1</v>
      </c>
      <c r="K83" s="327"/>
      <c r="L83" s="328"/>
      <c r="M83" s="329">
        <f t="shared" si="0"/>
        <v>3</v>
      </c>
      <c r="N83" s="320" t="s">
        <v>146</v>
      </c>
      <c r="O83" s="320" t="s">
        <v>278</v>
      </c>
      <c r="P83" s="330"/>
      <c r="Q83" s="79" t="str">
        <f t="shared" si="1"/>
        <v>South Africa</v>
      </c>
    </row>
    <row r="84" spans="1:17" x14ac:dyDescent="0.25">
      <c r="A84" s="321">
        <v>81</v>
      </c>
      <c r="B84" s="322" t="s">
        <v>279</v>
      </c>
      <c r="C84" s="323">
        <v>1</v>
      </c>
      <c r="D84" s="324"/>
      <c r="E84" s="325">
        <v>1</v>
      </c>
      <c r="F84" s="325"/>
      <c r="G84" s="325"/>
      <c r="H84" s="326"/>
      <c r="I84" s="326"/>
      <c r="J84" s="327">
        <v>1</v>
      </c>
      <c r="K84" s="327"/>
      <c r="L84" s="328"/>
      <c r="M84" s="329">
        <f t="shared" si="0"/>
        <v>3</v>
      </c>
      <c r="N84" s="320" t="s">
        <v>129</v>
      </c>
      <c r="O84" s="320" t="s">
        <v>280</v>
      </c>
      <c r="P84" s="344"/>
      <c r="Q84" s="79" t="str">
        <f t="shared" si="1"/>
        <v>South Korea</v>
      </c>
    </row>
    <row r="85" spans="1:17" x14ac:dyDescent="0.25">
      <c r="A85" s="321">
        <v>82</v>
      </c>
      <c r="B85" s="322" t="s">
        <v>281</v>
      </c>
      <c r="C85" s="323"/>
      <c r="D85" s="324">
        <v>1</v>
      </c>
      <c r="E85" s="325">
        <v>1</v>
      </c>
      <c r="F85" s="325"/>
      <c r="G85" s="325"/>
      <c r="H85" s="326"/>
      <c r="I85" s="326"/>
      <c r="J85" s="327">
        <v>1</v>
      </c>
      <c r="K85" s="327"/>
      <c r="L85" s="328"/>
      <c r="M85" s="329">
        <f t="shared" si="0"/>
        <v>3</v>
      </c>
      <c r="N85" s="320" t="s">
        <v>282</v>
      </c>
      <c r="O85" s="320" t="s">
        <v>283</v>
      </c>
      <c r="P85" s="330"/>
      <c r="Q85" s="79" t="str">
        <f t="shared" si="1"/>
        <v>Spain</v>
      </c>
    </row>
    <row r="86" spans="1:17" x14ac:dyDescent="0.25">
      <c r="A86" s="321">
        <v>83</v>
      </c>
      <c r="B86" s="322" t="s">
        <v>284</v>
      </c>
      <c r="C86" s="323"/>
      <c r="D86" s="324">
        <v>1</v>
      </c>
      <c r="E86" s="325">
        <v>1</v>
      </c>
      <c r="F86" s="325"/>
      <c r="G86" s="325"/>
      <c r="H86" s="326"/>
      <c r="I86" s="326"/>
      <c r="J86" s="327">
        <v>1</v>
      </c>
      <c r="K86" s="327"/>
      <c r="L86" s="328"/>
      <c r="M86" s="329">
        <f t="shared" si="0"/>
        <v>3</v>
      </c>
      <c r="N86" s="320" t="s">
        <v>149</v>
      </c>
      <c r="O86" s="320" t="s">
        <v>150</v>
      </c>
      <c r="P86" s="330"/>
      <c r="Q86" s="79" t="str">
        <f t="shared" si="1"/>
        <v>Sri Lanka</v>
      </c>
    </row>
    <row r="87" spans="1:17" x14ac:dyDescent="0.25">
      <c r="A87" s="321">
        <v>84</v>
      </c>
      <c r="B87" s="322" t="s">
        <v>285</v>
      </c>
      <c r="C87" s="323">
        <v>1</v>
      </c>
      <c r="D87" s="324"/>
      <c r="E87" s="325"/>
      <c r="F87" s="325"/>
      <c r="G87" s="325"/>
      <c r="H87" s="326"/>
      <c r="I87" s="326">
        <v>1</v>
      </c>
      <c r="J87" s="327"/>
      <c r="K87" s="327">
        <v>1</v>
      </c>
      <c r="L87" s="328">
        <v>1</v>
      </c>
      <c r="M87" s="329">
        <f t="shared" si="0"/>
        <v>4</v>
      </c>
      <c r="N87" s="320" t="s">
        <v>286</v>
      </c>
      <c r="O87" s="320" t="s">
        <v>287</v>
      </c>
      <c r="P87" s="330"/>
      <c r="Q87" s="79" t="str">
        <f t="shared" si="1"/>
        <v>Sweden</v>
      </c>
    </row>
    <row r="88" spans="1:17" x14ac:dyDescent="0.25">
      <c r="A88" s="321">
        <v>85</v>
      </c>
      <c r="B88" s="322" t="s">
        <v>288</v>
      </c>
      <c r="C88" s="323">
        <v>1</v>
      </c>
      <c r="D88" s="324"/>
      <c r="E88" s="325">
        <v>1</v>
      </c>
      <c r="F88" s="325"/>
      <c r="G88" s="325"/>
      <c r="H88" s="326"/>
      <c r="I88" s="326"/>
      <c r="J88" s="327">
        <v>1</v>
      </c>
      <c r="K88" s="327"/>
      <c r="L88" s="328"/>
      <c r="M88" s="329">
        <f t="shared" si="0"/>
        <v>3</v>
      </c>
      <c r="N88" s="320" t="s">
        <v>282</v>
      </c>
      <c r="O88" s="320" t="s">
        <v>283</v>
      </c>
      <c r="P88" s="330" t="s">
        <v>289</v>
      </c>
      <c r="Q88" s="79" t="str">
        <f t="shared" si="1"/>
        <v>Switzerland</v>
      </c>
    </row>
    <row r="89" spans="1:17" x14ac:dyDescent="0.25">
      <c r="A89" s="321">
        <v>86</v>
      </c>
      <c r="B89" s="382" t="s">
        <v>290</v>
      </c>
      <c r="C89" s="323"/>
      <c r="D89" s="337">
        <v>1</v>
      </c>
      <c r="E89" s="338">
        <v>1</v>
      </c>
      <c r="F89" s="338"/>
      <c r="G89" s="325"/>
      <c r="H89" s="326"/>
      <c r="I89" s="326"/>
      <c r="J89" s="327">
        <v>1</v>
      </c>
      <c r="K89" s="327"/>
      <c r="L89" s="328"/>
      <c r="M89" s="329">
        <f t="shared" si="0"/>
        <v>3</v>
      </c>
      <c r="N89" s="343" t="s">
        <v>216</v>
      </c>
      <c r="O89" s="343" t="s">
        <v>291</v>
      </c>
      <c r="P89" s="344" t="s">
        <v>218</v>
      </c>
      <c r="Q89" s="79" t="str">
        <f t="shared" si="1"/>
        <v>Taiwan</v>
      </c>
    </row>
    <row r="90" spans="1:17" x14ac:dyDescent="0.25">
      <c r="A90" s="321">
        <v>87</v>
      </c>
      <c r="B90" s="322" t="s">
        <v>292</v>
      </c>
      <c r="C90" s="323"/>
      <c r="D90" s="324">
        <v>1</v>
      </c>
      <c r="E90" s="325">
        <v>1</v>
      </c>
      <c r="F90" s="325"/>
      <c r="G90" s="325"/>
      <c r="H90" s="326"/>
      <c r="I90" s="326"/>
      <c r="J90" s="327">
        <v>1</v>
      </c>
      <c r="K90" s="327"/>
      <c r="L90" s="328"/>
      <c r="M90" s="329">
        <f t="shared" si="0"/>
        <v>3</v>
      </c>
      <c r="N90" s="320" t="s">
        <v>180</v>
      </c>
      <c r="O90" s="320" t="s">
        <v>181</v>
      </c>
      <c r="P90" s="344"/>
      <c r="Q90" s="79" t="str">
        <f t="shared" si="1"/>
        <v>Thailand</v>
      </c>
    </row>
    <row r="91" spans="1:17" x14ac:dyDescent="0.25">
      <c r="A91" s="321">
        <v>88</v>
      </c>
      <c r="B91" s="322" t="s">
        <v>293</v>
      </c>
      <c r="C91" s="336"/>
      <c r="D91" s="324">
        <v>1</v>
      </c>
      <c r="E91" s="325">
        <v>1</v>
      </c>
      <c r="F91" s="325"/>
      <c r="G91" s="325"/>
      <c r="H91" s="326"/>
      <c r="I91" s="326"/>
      <c r="J91" s="327">
        <v>1</v>
      </c>
      <c r="K91" s="327"/>
      <c r="L91" s="328"/>
      <c r="M91" s="329">
        <f t="shared" si="0"/>
        <v>3</v>
      </c>
      <c r="N91" s="320" t="s">
        <v>187</v>
      </c>
      <c r="O91" s="320" t="s">
        <v>188</v>
      </c>
      <c r="P91" s="344"/>
      <c r="Q91" s="79" t="str">
        <f t="shared" si="1"/>
        <v>Tunisa</v>
      </c>
    </row>
    <row r="92" spans="1:17" x14ac:dyDescent="0.25">
      <c r="A92" s="321">
        <v>89</v>
      </c>
      <c r="B92" s="322" t="s">
        <v>294</v>
      </c>
      <c r="C92" s="324">
        <v>1</v>
      </c>
      <c r="D92" s="324"/>
      <c r="E92" s="325">
        <v>1</v>
      </c>
      <c r="F92" s="325"/>
      <c r="G92" s="325"/>
      <c r="H92" s="326"/>
      <c r="I92" s="326"/>
      <c r="J92" s="327">
        <v>1</v>
      </c>
      <c r="K92" s="327"/>
      <c r="L92" s="328"/>
      <c r="M92" s="329">
        <f t="shared" si="0"/>
        <v>3</v>
      </c>
      <c r="N92" s="320" t="s">
        <v>161</v>
      </c>
      <c r="O92" s="320" t="s">
        <v>264</v>
      </c>
      <c r="P92" s="330"/>
      <c r="Q92" s="79" t="str">
        <f t="shared" si="1"/>
        <v>Türkiye</v>
      </c>
    </row>
    <row r="93" spans="1:17" x14ac:dyDescent="0.25">
      <c r="A93" s="321">
        <v>90</v>
      </c>
      <c r="B93" s="322" t="s">
        <v>295</v>
      </c>
      <c r="C93" s="324"/>
      <c r="D93" s="324">
        <v>1</v>
      </c>
      <c r="E93" s="325">
        <v>1</v>
      </c>
      <c r="F93" s="325"/>
      <c r="G93" s="325"/>
      <c r="H93" s="326"/>
      <c r="I93" s="326"/>
      <c r="J93" s="327">
        <v>1</v>
      </c>
      <c r="K93" s="327"/>
      <c r="L93" s="328"/>
      <c r="M93" s="329">
        <v>3</v>
      </c>
      <c r="N93" s="320" t="s">
        <v>296</v>
      </c>
      <c r="O93" s="320" t="s">
        <v>297</v>
      </c>
      <c r="P93" s="344"/>
      <c r="Q93" s="381" t="s">
        <v>295</v>
      </c>
    </row>
    <row r="94" spans="1:17" x14ac:dyDescent="0.25">
      <c r="A94" s="321">
        <v>91</v>
      </c>
      <c r="B94" s="322" t="s">
        <v>298</v>
      </c>
      <c r="C94" s="324"/>
      <c r="D94" s="324">
        <v>1</v>
      </c>
      <c r="E94" s="325">
        <v>1</v>
      </c>
      <c r="F94" s="325"/>
      <c r="G94" s="325"/>
      <c r="H94" s="326"/>
      <c r="I94" s="326"/>
      <c r="J94" s="327">
        <v>1</v>
      </c>
      <c r="K94" s="327"/>
      <c r="L94" s="328"/>
      <c r="M94" s="329">
        <f t="shared" si="0"/>
        <v>3</v>
      </c>
      <c r="N94" s="320" t="s">
        <v>239</v>
      </c>
      <c r="O94" s="320" t="s">
        <v>240</v>
      </c>
      <c r="P94" s="330"/>
      <c r="Q94" s="79" t="str">
        <f t="shared" si="1"/>
        <v>Ukraine</v>
      </c>
    </row>
    <row r="95" spans="1:17" ht="23.25" x14ac:dyDescent="0.25">
      <c r="A95" s="321">
        <v>92</v>
      </c>
      <c r="B95" s="322" t="s">
        <v>299</v>
      </c>
      <c r="C95" s="324">
        <v>1</v>
      </c>
      <c r="D95" s="324"/>
      <c r="E95" s="325">
        <v>1</v>
      </c>
      <c r="F95" s="325"/>
      <c r="G95" s="325"/>
      <c r="H95" s="326"/>
      <c r="I95" s="326"/>
      <c r="J95" s="327">
        <v>1</v>
      </c>
      <c r="K95" s="327"/>
      <c r="L95" s="328"/>
      <c r="M95" s="329">
        <f t="shared" si="0"/>
        <v>3</v>
      </c>
      <c r="N95" s="320" t="s">
        <v>300</v>
      </c>
      <c r="O95" s="320" t="s">
        <v>301</v>
      </c>
      <c r="P95" s="330"/>
      <c r="Q95" s="79" t="str">
        <f t="shared" si="1"/>
        <v>United Arab Emirates</v>
      </c>
    </row>
    <row r="96" spans="1:17" ht="23.25" x14ac:dyDescent="0.25">
      <c r="A96" s="321">
        <v>93</v>
      </c>
      <c r="B96" s="322" t="s">
        <v>302</v>
      </c>
      <c r="C96" s="324"/>
      <c r="D96" s="324">
        <v>1</v>
      </c>
      <c r="E96" s="325"/>
      <c r="F96" s="325"/>
      <c r="G96" s="325"/>
      <c r="H96" s="326"/>
      <c r="I96" s="326">
        <v>1</v>
      </c>
      <c r="J96" s="327"/>
      <c r="K96" s="327">
        <v>1</v>
      </c>
      <c r="L96" s="328">
        <v>1</v>
      </c>
      <c r="M96" s="329">
        <f t="shared" si="0"/>
        <v>4</v>
      </c>
      <c r="N96" s="320" t="s">
        <v>146</v>
      </c>
      <c r="O96" s="320" t="s">
        <v>278</v>
      </c>
      <c r="P96" s="330"/>
      <c r="Q96" s="79" t="str">
        <f>CONCATENATE("the ",B96)</f>
        <v>the United Kingdom</v>
      </c>
    </row>
    <row r="97" spans="1:17" ht="23.25" x14ac:dyDescent="0.25">
      <c r="A97" s="321">
        <v>94</v>
      </c>
      <c r="B97" s="322" t="s">
        <v>303</v>
      </c>
      <c r="C97" s="324"/>
      <c r="D97" s="324"/>
      <c r="E97" s="325"/>
      <c r="F97" s="325"/>
      <c r="G97" s="325"/>
      <c r="H97" s="326"/>
      <c r="I97" s="326"/>
      <c r="J97" s="327"/>
      <c r="K97" s="327"/>
      <c r="L97" s="328"/>
      <c r="M97" s="329">
        <f>SUM(C97:L97)</f>
        <v>0</v>
      </c>
      <c r="N97" s="332"/>
      <c r="O97" s="332"/>
      <c r="P97" s="330" t="s">
        <v>156</v>
      </c>
      <c r="Q97" s="79" t="str">
        <f>CONCATENATE("the ",B97)</f>
        <v>the United States of America</v>
      </c>
    </row>
    <row r="98" spans="1:17" x14ac:dyDescent="0.25">
      <c r="A98" s="321">
        <v>95</v>
      </c>
      <c r="B98" s="322" t="s">
        <v>304</v>
      </c>
      <c r="C98" s="324"/>
      <c r="D98" s="324">
        <v>1</v>
      </c>
      <c r="E98" s="325">
        <v>1</v>
      </c>
      <c r="F98" s="325"/>
      <c r="G98" s="325"/>
      <c r="H98" s="326"/>
      <c r="I98" s="326"/>
      <c r="J98" s="327">
        <v>1</v>
      </c>
      <c r="K98" s="327"/>
      <c r="L98" s="328"/>
      <c r="M98" s="329">
        <f>SUM(C98:L98)</f>
        <v>3</v>
      </c>
      <c r="N98" s="320" t="s">
        <v>149</v>
      </c>
      <c r="O98" s="320" t="s">
        <v>150</v>
      </c>
      <c r="P98" s="330"/>
      <c r="Q98" s="79" t="str">
        <f>B98</f>
        <v>Uruguay</v>
      </c>
    </row>
    <row r="99" spans="1:17" x14ac:dyDescent="0.25">
      <c r="A99" s="321">
        <v>96</v>
      </c>
      <c r="B99" s="322" t="s">
        <v>305</v>
      </c>
      <c r="C99" s="324"/>
      <c r="D99" s="324">
        <v>1</v>
      </c>
      <c r="E99" s="325">
        <v>1</v>
      </c>
      <c r="F99" s="325"/>
      <c r="G99" s="325"/>
      <c r="H99" s="326"/>
      <c r="I99" s="326"/>
      <c r="J99" s="327">
        <v>1</v>
      </c>
      <c r="K99" s="327"/>
      <c r="L99" s="328"/>
      <c r="M99" s="329">
        <f>SUM(C99:L99)</f>
        <v>3</v>
      </c>
      <c r="N99" s="320" t="s">
        <v>138</v>
      </c>
      <c r="O99" s="320" t="s">
        <v>306</v>
      </c>
      <c r="P99" s="330"/>
      <c r="Q99" s="79" t="str">
        <f>B99</f>
        <v>Uzbekistan</v>
      </c>
    </row>
    <row r="100" spans="1:17" x14ac:dyDescent="0.25">
      <c r="A100" s="321">
        <v>97</v>
      </c>
      <c r="B100" s="322" t="s">
        <v>307</v>
      </c>
      <c r="C100" s="324">
        <v>1</v>
      </c>
      <c r="D100" s="324"/>
      <c r="E100" s="325">
        <v>1</v>
      </c>
      <c r="F100" s="325"/>
      <c r="G100" s="325"/>
      <c r="H100" s="326"/>
      <c r="I100" s="326"/>
      <c r="J100" s="327">
        <v>1</v>
      </c>
      <c r="K100" s="327"/>
      <c r="L100" s="328"/>
      <c r="M100" s="329">
        <f>SUM(C100:L100)</f>
        <v>3</v>
      </c>
      <c r="N100" s="320" t="s">
        <v>258</v>
      </c>
      <c r="O100" s="320" t="s">
        <v>259</v>
      </c>
      <c r="P100" s="330"/>
      <c r="Q100" s="79" t="str">
        <f>B100</f>
        <v>Vietnam</v>
      </c>
    </row>
    <row r="101" spans="1:17" x14ac:dyDescent="0.25">
      <c r="A101" s="102"/>
      <c r="B101" s="27" t="s">
        <v>308</v>
      </c>
      <c r="C101" s="105">
        <f>SUM(C4:C100)</f>
        <v>29</v>
      </c>
      <c r="D101" s="105">
        <f t="shared" ref="D101:L101" si="2">SUM(D4:D100)</f>
        <v>65</v>
      </c>
      <c r="E101" s="105">
        <f t="shared" si="2"/>
        <v>80</v>
      </c>
      <c r="F101" s="105">
        <f t="shared" si="2"/>
        <v>8</v>
      </c>
      <c r="G101" s="105"/>
      <c r="H101" s="105">
        <f t="shared" si="2"/>
        <v>1</v>
      </c>
      <c r="I101" s="105">
        <f t="shared" si="2"/>
        <v>5</v>
      </c>
      <c r="J101" s="105">
        <f t="shared" si="2"/>
        <v>91</v>
      </c>
      <c r="K101" s="105">
        <f t="shared" si="2"/>
        <v>4</v>
      </c>
      <c r="L101" s="106">
        <f t="shared" si="2"/>
        <v>4</v>
      </c>
      <c r="M101" s="103"/>
      <c r="N101" s="104"/>
      <c r="O101" s="104"/>
    </row>
  </sheetData>
  <sheetProtection password="F5F4" sheet="1"/>
  <mergeCells count="1">
    <mergeCell ref="C1:L1"/>
  </mergeCells>
  <phoneticPr fontId="46" type="noConversion"/>
  <pageMargins left="0.25" right="0.25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9654-481E-45B6-AD39-56A30BBE0CB1}">
  <sheetPr codeName="Sheet3"/>
  <dimension ref="A4:P184"/>
  <sheetViews>
    <sheetView zoomScale="85" zoomScaleNormal="85" workbookViewId="0">
      <selection activeCell="N6" sqref="N6"/>
    </sheetView>
  </sheetViews>
  <sheetFormatPr defaultRowHeight="15" x14ac:dyDescent="0.25"/>
  <cols>
    <col min="1" max="1" width="6.28515625" customWidth="1"/>
    <col min="2" max="2" width="7.140625" customWidth="1"/>
    <col min="3" max="3" width="5" customWidth="1"/>
    <col min="4" max="4" width="22.28515625" customWidth="1"/>
    <col min="5" max="5" width="23" customWidth="1"/>
    <col min="6" max="7" width="7.7109375" customWidth="1"/>
    <col min="8" max="8" width="9.5703125" customWidth="1"/>
    <col min="9" max="9" width="9.28515625" customWidth="1"/>
    <col min="10" max="10" width="21.28515625" customWidth="1"/>
    <col min="11" max="11" width="19.7109375" customWidth="1"/>
    <col min="12" max="12" width="29.7109375" customWidth="1"/>
    <col min="13" max="13" width="26.7109375" customWidth="1"/>
    <col min="14" max="14" width="17.28515625" customWidth="1"/>
    <col min="15" max="15" width="20.140625" customWidth="1"/>
    <col min="16" max="16" width="12" customWidth="1"/>
    <col min="17" max="39" width="9.140625" customWidth="1"/>
  </cols>
  <sheetData>
    <row r="4" spans="2:14" x14ac:dyDescent="0.25">
      <c r="B4" s="108">
        <v>1</v>
      </c>
      <c r="C4" s="109">
        <f>B4+1</f>
        <v>2</v>
      </c>
      <c r="D4" s="109">
        <f t="shared" ref="D4:L4" si="0">C4+1</f>
        <v>3</v>
      </c>
      <c r="E4" s="110">
        <f t="shared" si="0"/>
        <v>4</v>
      </c>
      <c r="F4" s="110">
        <f t="shared" si="0"/>
        <v>5</v>
      </c>
      <c r="G4" s="110">
        <f t="shared" si="0"/>
        <v>6</v>
      </c>
      <c r="H4" s="111">
        <f t="shared" si="0"/>
        <v>7</v>
      </c>
      <c r="I4" s="112">
        <f t="shared" si="0"/>
        <v>8</v>
      </c>
      <c r="J4" s="113">
        <f t="shared" si="0"/>
        <v>9</v>
      </c>
      <c r="K4" s="113">
        <f t="shared" si="0"/>
        <v>10</v>
      </c>
      <c r="L4" s="114">
        <f t="shared" si="0"/>
        <v>11</v>
      </c>
      <c r="M4" s="89"/>
      <c r="N4" s="274">
        <v>15</v>
      </c>
    </row>
    <row r="5" spans="2:14" ht="258.75" x14ac:dyDescent="0.25">
      <c r="B5" s="26" t="s">
        <v>309</v>
      </c>
      <c r="C5" s="95" t="s">
        <v>99</v>
      </c>
      <c r="D5" s="95" t="s">
        <v>100</v>
      </c>
      <c r="E5" s="96" t="s">
        <v>101</v>
      </c>
      <c r="F5" s="96" t="s">
        <v>102</v>
      </c>
      <c r="G5" s="96" t="s">
        <v>103</v>
      </c>
      <c r="H5" s="97" t="s">
        <v>104</v>
      </c>
      <c r="I5" s="97" t="s">
        <v>105</v>
      </c>
      <c r="J5" s="98" t="s">
        <v>106</v>
      </c>
      <c r="K5" s="98" t="s">
        <v>107</v>
      </c>
      <c r="L5" s="99" t="s">
        <v>108</v>
      </c>
      <c r="M5" s="100" t="s">
        <v>109</v>
      </c>
      <c r="N5" s="275" t="s">
        <v>310</v>
      </c>
    </row>
    <row r="6" spans="2:14" x14ac:dyDescent="0.25">
      <c r="B6" s="115">
        <f>'NRE Calculator'!AE13</f>
        <v>0</v>
      </c>
      <c r="C6" s="115" t="e">
        <f t="shared" ref="C6:L6" si="1">VLOOKUP($B$6,matrix,C4,FALSE)</f>
        <v>#N/A</v>
      </c>
      <c r="D6" s="115" t="e">
        <f t="shared" si="1"/>
        <v>#N/A</v>
      </c>
      <c r="E6" s="115" t="e">
        <f t="shared" si="1"/>
        <v>#N/A</v>
      </c>
      <c r="F6" s="115" t="e">
        <f t="shared" si="1"/>
        <v>#N/A</v>
      </c>
      <c r="G6" s="115" t="e">
        <f t="shared" si="1"/>
        <v>#N/A</v>
      </c>
      <c r="H6" s="115" t="e">
        <f t="shared" si="1"/>
        <v>#N/A</v>
      </c>
      <c r="I6" s="115" t="e">
        <f t="shared" si="1"/>
        <v>#N/A</v>
      </c>
      <c r="J6" s="115" t="e">
        <f t="shared" si="1"/>
        <v>#N/A</v>
      </c>
      <c r="K6" s="115" t="e">
        <f t="shared" si="1"/>
        <v>#N/A</v>
      </c>
      <c r="L6" s="115" t="e">
        <f t="shared" si="1"/>
        <v>#N/A</v>
      </c>
      <c r="M6" s="115" t="e">
        <f>SUM(E6:L6)</f>
        <v>#N/A</v>
      </c>
      <c r="N6" s="115" t="e">
        <f>IF(VLOOKUP(B6,matrix,N4,FALSE)="new",RIGHT(VLOOKUP(B6,matrix,13,FALSE),4),"")</f>
        <v>#N/A</v>
      </c>
    </row>
    <row r="7" spans="2:14" x14ac:dyDescent="0.25">
      <c r="B7" s="115" t="s">
        <v>311</v>
      </c>
      <c r="C7" s="115"/>
      <c r="D7" s="115"/>
      <c r="E7" s="115" t="e">
        <f>SUM($E$6:E6)</f>
        <v>#N/A</v>
      </c>
      <c r="F7" s="115" t="e">
        <f>SUM($E$6:F6)</f>
        <v>#N/A</v>
      </c>
      <c r="G7" s="115" t="e">
        <f>SUM($E$6:G6)</f>
        <v>#N/A</v>
      </c>
      <c r="H7" s="115" t="e">
        <f>SUM($E$6:H6)</f>
        <v>#N/A</v>
      </c>
      <c r="I7" s="115" t="e">
        <f>SUM($E$6:I6)</f>
        <v>#N/A</v>
      </c>
      <c r="J7" s="115" t="e">
        <f>SUM($E$6:J6)</f>
        <v>#N/A</v>
      </c>
      <c r="K7" s="115" t="e">
        <f>SUM($E$6:K6)</f>
        <v>#N/A</v>
      </c>
      <c r="L7" s="115" t="e">
        <f>SUM($E$6:L6)</f>
        <v>#N/A</v>
      </c>
      <c r="M7" s="115"/>
    </row>
    <row r="8" spans="2:14" x14ac:dyDescent="0.25">
      <c r="B8" s="115" t="s">
        <v>312</v>
      </c>
      <c r="C8" s="115"/>
      <c r="D8" s="115"/>
      <c r="E8" s="115" t="e">
        <f>E7</f>
        <v>#N/A</v>
      </c>
      <c r="F8" s="115" t="e">
        <f>F7-SUM($E$8:E8)</f>
        <v>#N/A</v>
      </c>
      <c r="G8" s="115" t="e">
        <f>G7-SUM($E$8:F8)</f>
        <v>#N/A</v>
      </c>
      <c r="H8" s="115" t="e">
        <f>H7-SUM($E$8:G8)</f>
        <v>#N/A</v>
      </c>
      <c r="I8" s="115" t="e">
        <f>I7-SUM($E$8:H8)</f>
        <v>#N/A</v>
      </c>
      <c r="J8" s="115" t="e">
        <f>J7-SUM($E$8:I8)</f>
        <v>#N/A</v>
      </c>
      <c r="K8" s="115" t="e">
        <f>K7-SUM($E$8:J8)</f>
        <v>#N/A</v>
      </c>
      <c r="L8" s="115" t="e">
        <f>L7-SUM($E$8:K8)</f>
        <v>#N/A</v>
      </c>
      <c r="M8" s="17"/>
    </row>
    <row r="9" spans="2:14" x14ac:dyDescent="0.25">
      <c r="B9" s="115" t="s">
        <v>313</v>
      </c>
      <c r="C9" s="115" t="str">
        <f>IF(C8=0,"",SUM($C$8:C8))</f>
        <v/>
      </c>
      <c r="D9" s="115" t="str">
        <f>IF(D8=0,"",SUM($C$8:D8))</f>
        <v/>
      </c>
      <c r="E9" s="115" t="e">
        <f>IF(E8=0,"",SUM($E$8:E8))</f>
        <v>#N/A</v>
      </c>
      <c r="F9" s="115" t="e">
        <f>IF(F8=0,"",SUM($E$8:F8))</f>
        <v>#N/A</v>
      </c>
      <c r="G9" s="115" t="e">
        <f>IF(G8=0,"",SUM($E$8:G8))</f>
        <v>#N/A</v>
      </c>
      <c r="H9" s="115" t="e">
        <f>IF(H8=0,"",SUM($E$8:H8))</f>
        <v>#N/A</v>
      </c>
      <c r="I9" s="115" t="e">
        <f>IF(I8=0,"",SUM($E$8:I8))</f>
        <v>#N/A</v>
      </c>
      <c r="J9" s="115" t="e">
        <f>IF(J8=0,"",SUM($E$8:J8))</f>
        <v>#N/A</v>
      </c>
      <c r="K9" s="115" t="e">
        <f>IF(K8=0,"",SUM($E$8:K8))</f>
        <v>#N/A</v>
      </c>
      <c r="L9" s="115" t="e">
        <f>IF(L8=0,"",SUM($E$8:L8))</f>
        <v>#N/A</v>
      </c>
      <c r="M9" s="17"/>
    </row>
    <row r="12" spans="2:14" x14ac:dyDescent="0.25">
      <c r="C12" t="str">
        <f>C9</f>
        <v/>
      </c>
      <c r="D12" t="str">
        <f t="shared" ref="D12:L12" si="2">D9</f>
        <v/>
      </c>
      <c r="E12" s="1" t="e">
        <f t="shared" si="2"/>
        <v>#N/A</v>
      </c>
      <c r="F12" s="1" t="e">
        <f t="shared" si="2"/>
        <v>#N/A</v>
      </c>
      <c r="G12" s="1" t="e">
        <f t="shared" si="2"/>
        <v>#N/A</v>
      </c>
      <c r="H12" s="1" t="e">
        <f t="shared" si="2"/>
        <v>#N/A</v>
      </c>
      <c r="I12" s="1" t="e">
        <f t="shared" si="2"/>
        <v>#N/A</v>
      </c>
      <c r="J12" s="1" t="e">
        <f t="shared" si="2"/>
        <v>#N/A</v>
      </c>
      <c r="K12" s="1" t="e">
        <f t="shared" si="2"/>
        <v>#N/A</v>
      </c>
      <c r="L12" s="1" t="e">
        <f t="shared" si="2"/>
        <v>#N/A</v>
      </c>
      <c r="M12" s="1"/>
    </row>
    <row r="13" spans="2:14" ht="258.75" x14ac:dyDescent="0.25">
      <c r="B13" s="26" t="s">
        <v>309</v>
      </c>
      <c r="C13" s="95" t="s">
        <v>99</v>
      </c>
      <c r="D13" s="95" t="s">
        <v>100</v>
      </c>
      <c r="E13" s="96" t="s">
        <v>101</v>
      </c>
      <c r="F13" s="96" t="s">
        <v>102</v>
      </c>
      <c r="G13" s="96" t="s">
        <v>103</v>
      </c>
      <c r="H13" s="97" t="s">
        <v>104</v>
      </c>
      <c r="I13" s="97" t="s">
        <v>105</v>
      </c>
      <c r="J13" s="98" t="s">
        <v>106</v>
      </c>
      <c r="K13" s="98" t="s">
        <v>107</v>
      </c>
      <c r="L13" s="99" t="s">
        <v>108</v>
      </c>
      <c r="M13" s="100" t="s">
        <v>109</v>
      </c>
    </row>
    <row r="14" spans="2:14" ht="157.5" x14ac:dyDescent="0.25">
      <c r="B14" s="26" t="s">
        <v>314</v>
      </c>
      <c r="C14" s="95"/>
      <c r="D14" s="95"/>
      <c r="E14" s="96" t="s">
        <v>315</v>
      </c>
      <c r="F14" s="96" t="e">
        <f>CONCATENATE("Is your remuneration paid by your foreign employer or on behalf of a foreign company in ",VLOOKUP($B$6,matrix,16,FALSE),"?")</f>
        <v>#N/A</v>
      </c>
      <c r="G14" s="96" t="e">
        <f>CONCATENATE("Is your remuneration paid by your employer in ",VLOOKUP($B$6,matrix,16,FALSE)," or on behalf of a foreign employer in ",VLOOKUP($B$6,matrix,16,FALSE)," and whose activity does not consist of hiring out of labour?")</f>
        <v>#N/A</v>
      </c>
      <c r="H14" s="97" t="s">
        <v>316</v>
      </c>
      <c r="I14" s="97" t="e">
        <f>CONCATENATE("Are you performing services in Singapore for your foreign employer in ",VLOOKUP($B$6,matrix,16,FALSE)," or on behalf of a foreign company in ",VLOOKUP($B$6,matrix,16,FALSE),"?")</f>
        <v>#N/A</v>
      </c>
      <c r="J14" s="98" t="s">
        <v>317</v>
      </c>
      <c r="K14" s="98" t="str">
        <f>CONCATENATE("Is your remuneration",IF(OR('NRE Calculator'!AE13="Australia",'NRE Calculator'!AE13="New Zealand"),""," directly")," deductible from profits (for Singapore tax purpose) of a permanent establishment (e.g. a place of management, a branch, an office) which your foreign employer has in Singapore?")</f>
        <v>Is your remuneration directly deductible from profits (for Singapore tax purpose) of a permanent establishment (e.g. a place of management, a branch, an office) which your foreign employer has in Singapore?</v>
      </c>
      <c r="L14" s="99" t="e">
        <f>CONCATENATE("Is your remuneration subjected to tax in ",VLOOKUP($B$6,matrix,16,FALSE),"?")</f>
        <v>#N/A</v>
      </c>
      <c r="M14" s="100"/>
    </row>
    <row r="15" spans="2:14" ht="67.5" x14ac:dyDescent="0.25">
      <c r="B15" s="26" t="s">
        <v>318</v>
      </c>
      <c r="C15" s="95"/>
      <c r="D15" s="95"/>
      <c r="E15" s="96" t="s">
        <v>8</v>
      </c>
      <c r="F15" s="96" t="s">
        <v>8</v>
      </c>
      <c r="G15" s="96" t="s">
        <v>8</v>
      </c>
      <c r="H15" s="97" t="s">
        <v>8</v>
      </c>
      <c r="I15" s="97" t="s">
        <v>8</v>
      </c>
      <c r="J15" s="98" t="s">
        <v>9</v>
      </c>
      <c r="K15" s="98" t="s">
        <v>9</v>
      </c>
      <c r="L15" s="99" t="s">
        <v>8</v>
      </c>
      <c r="M15" s="100"/>
    </row>
    <row r="16" spans="2:14" ht="228" x14ac:dyDescent="0.25">
      <c r="B16" s="26" t="s">
        <v>319</v>
      </c>
      <c r="C16" s="186" t="str">
        <f>CONCATENATE("Your physical presence in Singapore exceeded 183 days ",days!F4,days!H4)</f>
        <v>Your physical presence in Singapore exceeded 183 days in the calendar year?</v>
      </c>
      <c r="D16" s="186" t="str">
        <f>IF(B6="Saudi Arabia","Your physical presence in Singapore exceeded 182 days in the relevant 12-month moving period.","Your physical presence in Singapore exceeded 183 days in the relevant 12-month moving period.")</f>
        <v>Your physical presence in Singapore exceeded 183 days in the relevant 12-month moving period.</v>
      </c>
      <c r="E16" s="183" t="s">
        <v>320</v>
      </c>
      <c r="F16" s="183" t="e">
        <f>CONCATENATE("Your remuneration is not paid by your foreign employer or on behalf of a foreign company in ",VLOOKUP($B$6,matrix,16,FALSE),".")</f>
        <v>#N/A</v>
      </c>
      <c r="G16" s="183" t="e">
        <f>CONCATENATE("Your remuneration is not paid by your employer in ",VLOOKUP($B$6,matrix,16,FALSE)," or on behalf of a foreign employer in ",VLOOKUP($B$6,matrix,16,FALSE)," and whose activity does not consist of hiring out of labour.")</f>
        <v>#N/A</v>
      </c>
      <c r="H16" s="184" t="s">
        <v>321</v>
      </c>
      <c r="I16" s="184" t="e">
        <f>CONCATENATE("Services performed in Singapore are not for your foreign employer in ",VLOOKUP($B$6,matrix,16,FALSE)," or on behalf of a foreign company in ",VLOOKUP($B$6,matrix,16,FALSE),".")</f>
        <v>#N/A</v>
      </c>
      <c r="J16" s="263" t="s">
        <v>322</v>
      </c>
      <c r="K16" s="263" t="str">
        <f>CONCATENATE("Your remuneration is",IF(OR('NRE Calculator'!AE13="Australia",'NRE Calculator'!AE13="New Zealand"),""," directly")," deductible from profits (for Singapore tax purpose) of a permanent establishment which your foreign employer has in Singapore.")</f>
        <v>Your remuneration is directly deductible from profits (for Singapore tax purpose) of a permanent establishment which your foreign employer has in Singapore.</v>
      </c>
      <c r="L16" s="185" t="e">
        <f>CONCATENATE("Your remuneration is not subjected to tax in ",VLOOKUP($B$6,matrix,16,FALSE),".")</f>
        <v>#N/A</v>
      </c>
      <c r="M16" s="17"/>
    </row>
    <row r="17" spans="1:13" ht="156" x14ac:dyDescent="0.25">
      <c r="B17" s="26" t="s">
        <v>323</v>
      </c>
      <c r="C17" s="186"/>
      <c r="D17" s="186"/>
      <c r="E17" s="183" t="s">
        <v>324</v>
      </c>
      <c r="F17" s="183" t="e">
        <f>CONCATENATE("my remuneration is paid by my foreign employer or on behalf of a foreign company in ",VLOOKUP($B$6,matrix,16,FALSE))</f>
        <v>#N/A</v>
      </c>
      <c r="G17" s="183" t="e">
        <f>CONCATENATE("my remuneration is paid by my employer in ",VLOOKUP($B$6,matrix,16,FALSE)," or on behalf of a foreign employer in ",VLOOKUP($B$6,matrix,16,FALSE)," and whose activity does not consist of hiring out of labour")</f>
        <v>#N/A</v>
      </c>
      <c r="H17" s="184" t="s">
        <v>325</v>
      </c>
      <c r="I17" s="184" t="e">
        <f>CONCATENATE("services performed in Singapore are for my foreign employer in ",VLOOKUP($B$6,matrix,16,FALSE)," or on behalf of a foreign company in ",VLOOKUP($B$6,matrix,16,FALSE))</f>
        <v>#N/A</v>
      </c>
      <c r="J17" s="263" t="s">
        <v>326</v>
      </c>
      <c r="K17" s="263" t="str">
        <f>CONCATENATE("my remuneration is not",IF(OR('NRE Calculator'!AE13="Australia",'NRE Calculator'!AE13="New Zealand"),""," directly")," deductible from profits (for Singapore tax purpose) of a permanent establishment which my foreign employer has in Singapore")</f>
        <v>my remuneration is not directly deductible from profits (for Singapore tax purpose) of a permanent establishment which my foreign employer has in Singapore</v>
      </c>
      <c r="L17" s="185" t="e">
        <f>CONCATENATE("my remuneration is subjected to tax in ",VLOOKUP($B$6,matrix,16,FALSE))</f>
        <v>#N/A</v>
      </c>
      <c r="M17" s="17"/>
    </row>
    <row r="18" spans="1:13" ht="107.25" customHeight="1" x14ac:dyDescent="0.25">
      <c r="B18" s="26" t="s">
        <v>327</v>
      </c>
      <c r="C18" s="186"/>
      <c r="D18" s="186"/>
      <c r="E18" s="183"/>
      <c r="F18" s="183"/>
      <c r="G18" s="183"/>
      <c r="H18" s="184"/>
      <c r="I18" s="184"/>
      <c r="J18" s="263" t="s">
        <v>328</v>
      </c>
      <c r="K18" s="263" t="str">
        <f>CONCATENATE("the employee's remuneration is not",IF(OR('NRE Calculator'!AE13="Australia",'NRE Calculator'!AE13="New Zealand"),""," directly")," deductible from profits (for Singapore tax purpose) of a permanent establishment which we have in Singapore")</f>
        <v>the employee's remuneration is not directly deductible from profits (for Singapore tax purpose) of a permanent establishment which we have in Singapore</v>
      </c>
      <c r="L18" s="185"/>
      <c r="M18" s="17"/>
    </row>
    <row r="19" spans="1:13" ht="15.75" thickBot="1" x14ac:dyDescent="0.3"/>
    <row r="20" spans="1:13" x14ac:dyDescent="0.25">
      <c r="A20" s="116">
        <v>1</v>
      </c>
      <c r="C20" s="117" t="e">
        <f>IF($M$6&gt;=A20,A20,"")</f>
        <v>#N/A</v>
      </c>
      <c r="D20" s="118" t="e">
        <f>IF(C20="","",HLOOKUP(C20,$E$12:$L$15,3,FALSE))</f>
        <v>#N/A</v>
      </c>
      <c r="E20" s="118"/>
      <c r="F20" s="118"/>
      <c r="G20" s="118"/>
      <c r="H20" s="118"/>
      <c r="I20" s="118"/>
      <c r="J20" s="119"/>
    </row>
    <row r="21" spans="1:13" x14ac:dyDescent="0.25">
      <c r="A21" s="116">
        <v>2</v>
      </c>
      <c r="C21" s="120" t="e">
        <f>IF($M$6&gt;=A21,A21,"")</f>
        <v>#N/A</v>
      </c>
      <c r="D21" t="e">
        <f>IF(C21="","",HLOOKUP(C21,$E$12:$L$15,3,FALSE))</f>
        <v>#N/A</v>
      </c>
      <c r="G21" s="64"/>
      <c r="J21" s="121"/>
    </row>
    <row r="22" spans="1:13" ht="15.75" thickBot="1" x14ac:dyDescent="0.3">
      <c r="A22" s="116">
        <v>3</v>
      </c>
      <c r="C22" s="122" t="e">
        <f>IF($M$6&gt;=A22,A22,"")</f>
        <v>#N/A</v>
      </c>
      <c r="D22" s="123" t="e">
        <f>IF(C22="","",HLOOKUP(C22,$E$12:$L$15,3,FALSE))</f>
        <v>#N/A</v>
      </c>
      <c r="E22" s="123"/>
      <c r="F22" s="123"/>
      <c r="G22" s="125"/>
      <c r="H22" s="123"/>
      <c r="I22" s="123"/>
      <c r="J22" s="124"/>
    </row>
    <row r="23" spans="1:13" x14ac:dyDescent="0.25">
      <c r="F23" s="66"/>
    </row>
    <row r="24" spans="1:13" x14ac:dyDescent="0.25">
      <c r="F24" s="64"/>
    </row>
    <row r="25" spans="1:13" ht="15.75" thickBot="1" x14ac:dyDescent="0.3">
      <c r="F25" s="66"/>
    </row>
    <row r="26" spans="1:13" ht="90" x14ac:dyDescent="0.25">
      <c r="C26" s="187" t="s">
        <v>329</v>
      </c>
      <c r="D26" s="188" t="s">
        <v>330</v>
      </c>
      <c r="E26" s="188" t="s">
        <v>331</v>
      </c>
      <c r="F26" s="188" t="s">
        <v>332</v>
      </c>
      <c r="G26" s="277" t="s">
        <v>333</v>
      </c>
      <c r="H26" s="189" t="s">
        <v>334</v>
      </c>
      <c r="I26" s="189" t="s">
        <v>335</v>
      </c>
      <c r="J26" s="190" t="s">
        <v>336</v>
      </c>
    </row>
    <row r="27" spans="1:13" x14ac:dyDescent="0.25">
      <c r="C27" s="139">
        <v>1</v>
      </c>
      <c r="D27" s="115" t="e">
        <f>IF(OR('NRE Calculator'!AJ20="",C20=""),"",IF('NRE Calculator'!AJ20=HLOOKUP(C27,$E$12:$M$16,4,FALSE),"Yes","No"))</f>
        <v>#N/A</v>
      </c>
      <c r="E27" s="115" t="str">
        <f>J27</f>
        <v/>
      </c>
      <c r="F27" s="276" t="e">
        <f>IF(OR(D27="",D27="Yes"),"",HLOOKUP(C27,$E$12:$M$16,5,FALSE))</f>
        <v>#N/A</v>
      </c>
      <c r="G27" s="278" t="e">
        <f>IF(D27="Yes",HLOOKUP(C27,$E$12:$M$17,6,FALSE),"")</f>
        <v>#N/A</v>
      </c>
      <c r="H27" s="1">
        <f>COUNTIF(D27,"No")</f>
        <v>0</v>
      </c>
      <c r="I27" s="1">
        <f>SUM($H$27:H27)</f>
        <v>0</v>
      </c>
      <c r="J27" s="1" t="str">
        <f>IF(I27=0,"",I27)</f>
        <v/>
      </c>
    </row>
    <row r="28" spans="1:13" x14ac:dyDescent="0.25">
      <c r="C28" s="139">
        <v>2</v>
      </c>
      <c r="D28" s="115" t="e">
        <f>IF(OR('NRE Calculator'!AJ23="",C21=""),"",IF('NRE Calculator'!AJ23=HLOOKUP(C28,$E$12:$M$16,4,FALSE),"Yes","No"))</f>
        <v>#N/A</v>
      </c>
      <c r="E28" s="115" t="str">
        <f>J28</f>
        <v/>
      </c>
      <c r="F28" s="276" t="e">
        <f>IF(OR(D28="",D28="Yes"),"",HLOOKUP(C28,$E$12:$M$16,5,FALSE))</f>
        <v>#N/A</v>
      </c>
      <c r="G28" s="278" t="e">
        <f>IF(D28="Yes",HLOOKUP(C28,$E$12:$M$17,6,FALSE),C129)</f>
        <v>#N/A</v>
      </c>
      <c r="H28" s="1">
        <f>COUNTIF(D28,"No")</f>
        <v>0</v>
      </c>
      <c r="I28" s="1">
        <f>SUM($H$27:H28)</f>
        <v>0</v>
      </c>
      <c r="J28" s="1" t="str">
        <f>IF(I28&lt;&gt;I27,I28,"")</f>
        <v/>
      </c>
    </row>
    <row r="29" spans="1:13" x14ac:dyDescent="0.25">
      <c r="C29" s="139">
        <v>3</v>
      </c>
      <c r="D29" s="115" t="e">
        <f>IF(OR('NRE Calculator'!AJ26="",C22=""),"",IF('NRE Calculator'!AJ26=HLOOKUP(C29,$E$12:$M$16,4,FALSE),"Yes","No"))</f>
        <v>#N/A</v>
      </c>
      <c r="E29" s="115" t="str">
        <f>J29</f>
        <v/>
      </c>
      <c r="F29" s="276" t="e">
        <f>IF(OR(D29="",D29="Yes"),"",HLOOKUP(C29,$E$12:$M$16,5,FALSE))</f>
        <v>#N/A</v>
      </c>
      <c r="G29" s="278" t="e">
        <f>IF(D29="Yes",HLOOKUP(C29,$E$12:$M$17,6,FALSE),C129)</f>
        <v>#N/A</v>
      </c>
      <c r="H29" s="1">
        <f>COUNTIF(D29,"No")</f>
        <v>0</v>
      </c>
      <c r="I29" s="1">
        <f>SUM($H$27:H29)</f>
        <v>0</v>
      </c>
      <c r="J29" s="1" t="str">
        <f>IF(I29&lt;&gt;I28,I29,"")</f>
        <v/>
      </c>
    </row>
    <row r="30" spans="1:13" ht="15.75" thickBot="1" x14ac:dyDescent="0.3">
      <c r="C30" s="192" t="s">
        <v>337</v>
      </c>
      <c r="D30" s="193" t="str">
        <f>IF(AND(days!E4&lt;&gt;0,'NRE Calculator'!AX39=1,OR(days!E3="calendar",days!E3="moving")),I33,IF(AND(days!E4&lt;&gt;0,'NRE Calculator'!AY51=0,OR(days!E3="calendar",days!E3="moving")),I33,""))</f>
        <v/>
      </c>
      <c r="E30" s="193" t="str">
        <f>J30</f>
        <v/>
      </c>
      <c r="F30" s="279" t="str">
        <f>IF(OR(D30="",D30="Yes"),"",IF(OR(days!I29="None",AND(days!I27=days!I30,days!E3="moving",days!E4&lt;=183)),C101,IF(AND(days!E2="Luxembourg",days!F56="Yes",days!F57="No",days!G56="No"),"Your physical presence in Singapore exceeded 183 days in the calendar year 2015.",IF(days!E3="calendar",C16,D16))))</f>
        <v/>
      </c>
      <c r="G30" s="280"/>
      <c r="H30" s="1">
        <f>COUNTIF(D30,"No")+COUNTIF(D30,"partial")</f>
        <v>0</v>
      </c>
      <c r="I30" s="1">
        <f>SUM($H$27:H30)</f>
        <v>0</v>
      </c>
      <c r="J30" s="1" t="str">
        <f>IF(I30&lt;&gt;I29,I30,"")</f>
        <v/>
      </c>
    </row>
    <row r="31" spans="1:13" ht="15.75" thickBot="1" x14ac:dyDescent="0.3">
      <c r="C31" s="194" t="s">
        <v>338</v>
      </c>
      <c r="D31" s="195" t="str">
        <f>IF(COUNTIF($D$27:$D$30,"No")&gt;0,"No",IF($E$34="Yes",IF($D$30="Partial","Partial","Yes"),""))</f>
        <v/>
      </c>
      <c r="E31" s="196" t="s">
        <v>339</v>
      </c>
      <c r="F31" s="196" t="s">
        <v>339</v>
      </c>
      <c r="G31" s="281"/>
      <c r="H31" s="1"/>
      <c r="I31" s="1"/>
    </row>
    <row r="32" spans="1:13" ht="15.75" thickBot="1" x14ac:dyDescent="0.3">
      <c r="K32" s="204"/>
    </row>
    <row r="33" spans="1:11" x14ac:dyDescent="0.25">
      <c r="C33" s="117"/>
      <c r="D33" s="118"/>
      <c r="E33" s="198" t="s">
        <v>338</v>
      </c>
      <c r="F33" s="199" t="s">
        <v>340</v>
      </c>
      <c r="G33" s="1"/>
      <c r="I33" s="204" t="e">
        <f>IF(days!I29="None","No",IF(days!E2="Saudi Arabia",calcNresults!J33,calcNresults!K33))</f>
        <v>#N/A</v>
      </c>
      <c r="J33" t="e">
        <f>IF(days!I29="None","No",IF(AND(days!E3="moving",days!E4&gt;182),"No",IF(AND(days!E3="moving",days!E4&lt;=182,days!I29="both"),"Yes",IF(AND(days!E3="moving",days!E4&lt;=182),"partial",IF(AND(days!E3="calendar",OR(days!I26="both",AND(days!I26&lt;&gt;"",days!I27=""))),"Yes",IF(days!I26&lt;&gt;"","partial","No"))))))</f>
        <v>#N/A</v>
      </c>
      <c r="K33" t="e">
        <f>IF(days!I29="None","No",IF(AND(days!E3="moving",days!E4&gt;183),"No",IF(AND(days!E3="moving",days!E4&lt;=183,days!I29="both"),"Yes",IF(AND(days!E3="moving",days!E4&lt;=183),"partial",IF(AND(days!E3="calendar",OR(days!I26="both",AND(days!I26&lt;&gt;"",days!I27=""))),"Yes",IF(days!I26&lt;&gt;"","partial","No"))))))</f>
        <v>#N/A</v>
      </c>
    </row>
    <row r="34" spans="1:11" ht="15.75" thickBot="1" x14ac:dyDescent="0.3">
      <c r="C34" s="507" t="s">
        <v>341</v>
      </c>
      <c r="D34" s="508"/>
      <c r="E34" s="200" t="str">
        <f>IF(OR('NRE Calculator'!$AE$13="",'NRE Calculator'!$AY$51&gt;0),"No",IF(COUNTA(C27:C30)-COUNTIF(D27:D30,"")=MAX(C20:C22)+1,"Yes","No"))</f>
        <v>No</v>
      </c>
      <c r="F34" s="201" t="str">
        <f>IF('NRE Calculator'!$AE$13="","No",IF(COUNTA(C27:C29)-COUNTIF(D27:D29,"")=MAX(C20:C22),"Yes","No"))</f>
        <v>No</v>
      </c>
    </row>
    <row r="35" spans="1:11" ht="15.75" thickBot="1" x14ac:dyDescent="0.3"/>
    <row r="36" spans="1:11" x14ac:dyDescent="0.25">
      <c r="C36" s="170" t="s">
        <v>342</v>
      </c>
      <c r="D36" s="197" t="s">
        <v>343</v>
      </c>
      <c r="E36" s="118"/>
      <c r="F36" s="171"/>
      <c r="G36" s="118"/>
      <c r="H36" s="118"/>
      <c r="I36" s="118"/>
      <c r="J36" s="119"/>
    </row>
    <row r="37" spans="1:11" x14ac:dyDescent="0.25">
      <c r="C37" s="120" t="e">
        <f>C102</f>
        <v>#N/A</v>
      </c>
      <c r="J37" s="121"/>
    </row>
    <row r="38" spans="1:11" x14ac:dyDescent="0.25">
      <c r="A38" s="116">
        <v>1</v>
      </c>
      <c r="B38" t="str">
        <f>IF(MAX($J$27:$J$30)&gt;=A38,A38,"")</f>
        <v/>
      </c>
      <c r="C38" s="120" t="str">
        <f>VLOOKUP(B38,$E$27:$F$30,2)</f>
        <v/>
      </c>
      <c r="J38" s="121"/>
    </row>
    <row r="39" spans="1:11" x14ac:dyDescent="0.25">
      <c r="A39" s="116">
        <v>2</v>
      </c>
      <c r="B39" t="str">
        <f>IF(MAX($J$27:$J$30)&gt;=A39,A39,"")</f>
        <v/>
      </c>
      <c r="C39" s="120" t="str">
        <f>VLOOKUP(B39,$E$27:$F$30,2)</f>
        <v/>
      </c>
      <c r="J39" s="121"/>
    </row>
    <row r="40" spans="1:11" x14ac:dyDescent="0.25">
      <c r="A40" s="116">
        <v>3</v>
      </c>
      <c r="B40" t="str">
        <f>IF(MAX($J$27:$J$30)&gt;=A40,A40,"")</f>
        <v/>
      </c>
      <c r="C40" s="120" t="str">
        <f>VLOOKUP(B40,$E$27:$F$30,2)</f>
        <v/>
      </c>
      <c r="J40" s="121"/>
    </row>
    <row r="41" spans="1:11" x14ac:dyDescent="0.25">
      <c r="A41" s="116">
        <v>4</v>
      </c>
      <c r="B41" t="str">
        <f>IF(MAX($J$27:$J$30)&gt;=A41,A41,"")</f>
        <v/>
      </c>
      <c r="C41" s="120" t="str">
        <f>VLOOKUP(B41,$E$27:$F$30,2)</f>
        <v/>
      </c>
      <c r="J41" s="121"/>
    </row>
    <row r="42" spans="1:11" x14ac:dyDescent="0.25">
      <c r="C42" s="120" t="str">
        <f>D103</f>
        <v>Your income attributable to your services rendered in Singapore will be subject to tax in Singapore.</v>
      </c>
      <c r="J42" s="121"/>
    </row>
    <row r="43" spans="1:11" ht="15.75" thickBot="1" x14ac:dyDescent="0.3">
      <c r="C43" s="122" t="str">
        <f>D104</f>
        <v>For more information on your tax obligations, please click on</v>
      </c>
      <c r="D43" s="123"/>
      <c r="E43" s="123"/>
      <c r="F43" s="123"/>
      <c r="G43" s="123" t="str">
        <f>E104</f>
        <v>'If I work for a foreign employer'.</v>
      </c>
      <c r="H43" s="123"/>
      <c r="I43" s="123"/>
      <c r="J43" s="124"/>
    </row>
    <row r="44" spans="1:11" ht="15.75" thickBot="1" x14ac:dyDescent="0.3"/>
    <row r="45" spans="1:11" x14ac:dyDescent="0.25">
      <c r="C45" s="170" t="s">
        <v>342</v>
      </c>
      <c r="D45" s="197" t="s">
        <v>344</v>
      </c>
      <c r="E45" s="118"/>
      <c r="F45" s="171"/>
      <c r="G45" s="118"/>
      <c r="H45" s="118"/>
      <c r="I45" s="118"/>
      <c r="J45" s="119"/>
    </row>
    <row r="46" spans="1:11" x14ac:dyDescent="0.25">
      <c r="C46" s="120" t="e">
        <f ca="1">IF(AND(B6="Luxembourg",days!H56="YesYes"),C134,C105)</f>
        <v>#N/A</v>
      </c>
      <c r="J46" s="121"/>
    </row>
    <row r="47" spans="1:11" x14ac:dyDescent="0.25">
      <c r="C47" s="120" t="str">
        <f ca="1">IF(AND(B6="Luxembourg",days!H56="YesYes"),C135,"")</f>
        <v/>
      </c>
      <c r="J47" s="121"/>
    </row>
    <row r="48" spans="1:11" x14ac:dyDescent="0.25">
      <c r="C48" s="120" t="str">
        <f ca="1">IF(AND(B6="Luxembourg",days!H56="YesYes"),C136,D106)</f>
        <v>To claim exemption from Singapore income tax, please submit the completed and signed Claim Form (page 2) and original Certificate of Residence (page 3) below to the Comptroller of Income Tax.</v>
      </c>
      <c r="J48" s="121"/>
    </row>
    <row r="49" spans="3:10" x14ac:dyDescent="0.25">
      <c r="C49" s="120" t="str">
        <f ca="1">IF(AND(B6="Luxembourg",days!H56="YesYes"),C137,D107)</f>
        <v/>
      </c>
      <c r="J49" s="121"/>
    </row>
    <row r="50" spans="3:10" x14ac:dyDescent="0.25">
      <c r="C50" s="120" t="str">
        <f ca="1">IF(AND(B6="Luxembourg",days!H56="YesYes"),C138,"")</f>
        <v/>
      </c>
      <c r="J50" s="121"/>
    </row>
    <row r="51" spans="3:10" x14ac:dyDescent="0.25">
      <c r="C51" s="120" t="e">
        <f ca="1">IF(AND(B6="Luxembourg",days!H56="YesYes"),C139,D108)</f>
        <v>#N/A</v>
      </c>
      <c r="J51" s="121"/>
    </row>
    <row r="52" spans="3:10" ht="15.75" thickBot="1" x14ac:dyDescent="0.3">
      <c r="C52" s="122" t="str">
        <f ca="1">IF(AND(B6="Luxembourg",days!H56="YesYes"),C140,"")</f>
        <v/>
      </c>
      <c r="D52" s="123"/>
      <c r="E52" s="123"/>
      <c r="F52" s="123"/>
      <c r="G52" s="123" t="str">
        <f ca="1">IF(AND(B6="Luxembourg",days!H56="YesYes"),G140,"")</f>
        <v/>
      </c>
      <c r="H52" s="123" t="str">
        <f>""</f>
        <v/>
      </c>
      <c r="I52" s="123"/>
      <c r="J52" s="124"/>
    </row>
    <row r="53" spans="3:10" ht="15.75" thickBot="1" x14ac:dyDescent="0.3"/>
    <row r="54" spans="3:10" x14ac:dyDescent="0.25">
      <c r="C54" s="170" t="s">
        <v>342</v>
      </c>
      <c r="D54" s="197" t="s">
        <v>345</v>
      </c>
      <c r="E54" s="118"/>
      <c r="F54" s="171"/>
      <c r="G54" s="118"/>
      <c r="H54" s="118"/>
      <c r="I54" s="118"/>
      <c r="J54" s="119"/>
    </row>
    <row r="55" spans="3:10" x14ac:dyDescent="0.25">
      <c r="C55" s="120" t="e">
        <f ca="1">IF(B6="Luxembourg",C134,C109)</f>
        <v>#N/A</v>
      </c>
      <c r="J55" s="121"/>
    </row>
    <row r="56" spans="3:10" x14ac:dyDescent="0.25">
      <c r="C56" s="120" t="str">
        <f>IF(B6="Luxembourg",C135,D110)</f>
        <v xml:space="preserve">      and signed Claim Form (page 2) and original Certificate of Residence (page 3) below to the Comptroller of
      Income Tax.</v>
      </c>
      <c r="J56" s="121"/>
    </row>
    <row r="57" spans="3:10" x14ac:dyDescent="0.25">
      <c r="C57" s="120" t="e">
        <f ca="1">IF(B6="Luxembourg",C136,C111)</f>
        <v>#N/A</v>
      </c>
      <c r="J57" s="121"/>
    </row>
    <row r="58" spans="3:10" x14ac:dyDescent="0.25">
      <c r="C58" s="120" t="str">
        <f>IF(B6="Luxembourg",C137,D112)</f>
        <v xml:space="preserve">      for the following reason:</v>
      </c>
      <c r="J58" s="121"/>
    </row>
    <row r="59" spans="3:10" x14ac:dyDescent="0.25">
      <c r="C59" s="120" t="str">
        <f>IF(B6="Luxembourg",C138,CONCATENATE("      -   ",VLOOKUP(B38,$E$27:$F$30,2)))</f>
        <v xml:space="preserve">      -   </v>
      </c>
      <c r="J59" s="121"/>
    </row>
    <row r="60" spans="3:10" x14ac:dyDescent="0.25">
      <c r="C60" s="120" t="str">
        <f>IF(B6="Luxembourg",C139,CONCATENATE("      ",C69))</f>
        <v xml:space="preserve">      Your income attributable to your services rendered in Singapore will be subject to tax in Singapore.</v>
      </c>
      <c r="J60" s="121"/>
    </row>
    <row r="61" spans="3:10" ht="15.75" thickBot="1" x14ac:dyDescent="0.3">
      <c r="C61" s="122" t="str">
        <f>IF(B6="Luxembourg",C140,CONCATENATE("      ",C70))</f>
        <v xml:space="preserve">      For more information on your tax obligations, please click on</v>
      </c>
      <c r="D61" s="123"/>
      <c r="E61" s="123"/>
      <c r="F61" s="123"/>
      <c r="G61" s="123" t="str">
        <f>IF(B6="Luxembourg",G140,G70)</f>
        <v>'If I work for a foreign employer'.</v>
      </c>
      <c r="H61" s="123"/>
      <c r="I61" s="123"/>
      <c r="J61" s="124"/>
    </row>
    <row r="62" spans="3:10" ht="15.75" thickBot="1" x14ac:dyDescent="0.3"/>
    <row r="63" spans="3:10" x14ac:dyDescent="0.25">
      <c r="C63" s="170" t="s">
        <v>342</v>
      </c>
      <c r="D63" s="197" t="s">
        <v>346</v>
      </c>
      <c r="E63" s="118"/>
      <c r="F63" s="118"/>
      <c r="G63" s="118"/>
      <c r="H63" s="118"/>
      <c r="I63" s="118"/>
      <c r="J63" s="119"/>
    </row>
    <row r="64" spans="3:10" x14ac:dyDescent="0.25">
      <c r="C64" s="120" t="str">
        <f>""</f>
        <v/>
      </c>
      <c r="D64" s="191"/>
      <c r="J64" s="121"/>
    </row>
    <row r="65" spans="3:10" x14ac:dyDescent="0.25">
      <c r="C65" s="120" t="str">
        <f>C98</f>
        <v>The current limited DTA does not provide for tax exemption for dependent personal services rendered by employees.</v>
      </c>
      <c r="D65" s="191"/>
      <c r="J65" s="121"/>
    </row>
    <row r="66" spans="3:10" x14ac:dyDescent="0.25">
      <c r="C66" s="120" t="str">
        <f>""</f>
        <v/>
      </c>
      <c r="D66" s="191"/>
      <c r="J66" s="121"/>
    </row>
    <row r="67" spans="3:10" x14ac:dyDescent="0.25">
      <c r="C67" s="120" t="str">
        <f>""</f>
        <v/>
      </c>
      <c r="D67" s="191"/>
      <c r="J67" s="121"/>
    </row>
    <row r="68" spans="3:10" x14ac:dyDescent="0.25">
      <c r="C68" s="120" t="str">
        <f>""</f>
        <v/>
      </c>
      <c r="D68" s="191"/>
      <c r="J68" s="121"/>
    </row>
    <row r="69" spans="3:10" x14ac:dyDescent="0.25">
      <c r="C69" s="120" t="str">
        <f>D103</f>
        <v>Your income attributable to your services rendered in Singapore will be subject to tax in Singapore.</v>
      </c>
      <c r="J69" s="121"/>
    </row>
    <row r="70" spans="3:10" ht="15.75" thickBot="1" x14ac:dyDescent="0.3">
      <c r="C70" s="122" t="str">
        <f>D104</f>
        <v>For more information on your tax obligations, please click on</v>
      </c>
      <c r="D70" s="123"/>
      <c r="E70" s="123"/>
      <c r="F70" s="123"/>
      <c r="G70" s="123" t="str">
        <f>E104</f>
        <v>'If I work for a foreign employer'.</v>
      </c>
      <c r="H70" s="123"/>
      <c r="I70" s="123"/>
      <c r="J70" s="124"/>
    </row>
    <row r="71" spans="3:10" ht="15.75" thickBot="1" x14ac:dyDescent="0.3"/>
    <row r="72" spans="3:10" x14ac:dyDescent="0.25">
      <c r="C72" s="170" t="s">
        <v>3</v>
      </c>
      <c r="D72" s="118"/>
      <c r="E72" s="118"/>
      <c r="F72" s="118"/>
      <c r="G72" s="118"/>
      <c r="H72" s="118"/>
      <c r="I72" s="118"/>
      <c r="J72" s="119"/>
    </row>
    <row r="73" spans="3:10" ht="15.75" thickBot="1" x14ac:dyDescent="0.3">
      <c r="C73" s="122" t="str">
        <f>IF($D$31="No",$C$116,IF('NRE Calculator'!$AE$13="",$C$113,IF(days!$E$3="limited treaty",$C$117,IF($F$34&lt;&gt;"Yes",$C$114,IF($E$34&lt;&gt;"Yes",$C$115,$C$118)))))</f>
        <v>Please select your country/region of residence under Section 1.</v>
      </c>
      <c r="D73" s="123"/>
      <c r="E73" s="123"/>
      <c r="F73" s="123"/>
      <c r="G73" s="123"/>
      <c r="H73" s="123"/>
      <c r="I73" s="123"/>
      <c r="J73" s="124"/>
    </row>
    <row r="74" spans="3:10" ht="15.75" thickBot="1" x14ac:dyDescent="0.3"/>
    <row r="75" spans="3:10" x14ac:dyDescent="0.25">
      <c r="C75" s="170" t="s">
        <v>347</v>
      </c>
      <c r="D75" s="118"/>
      <c r="E75" s="118"/>
      <c r="F75" s="118"/>
      <c r="G75" s="118"/>
      <c r="H75" s="118"/>
      <c r="I75" s="118"/>
      <c r="J75" s="119"/>
    </row>
    <row r="76" spans="3:10" ht="15.75" thickBot="1" x14ac:dyDescent="0.3">
      <c r="C76" s="122" t="e">
        <f>IF(days!E3="limited treaty",C99,IF(N6="",IF(days!E3="moving",C100,""),CONCATENATE(IF(days!E3="moving",C100,"")," ",C101)))</f>
        <v>#N/A</v>
      </c>
      <c r="D76" s="123"/>
      <c r="E76" s="123"/>
      <c r="F76" s="123"/>
      <c r="G76" s="123"/>
      <c r="H76" s="123"/>
      <c r="I76" s="123"/>
      <c r="J76" s="124"/>
    </row>
    <row r="77" spans="3:10" ht="15.75" thickBot="1" x14ac:dyDescent="0.3"/>
    <row r="78" spans="3:10" x14ac:dyDescent="0.25">
      <c r="C78" s="170" t="s">
        <v>348</v>
      </c>
      <c r="D78" s="118"/>
      <c r="E78" s="118"/>
      <c r="F78" s="118"/>
      <c r="G78" s="118"/>
      <c r="H78" s="118"/>
      <c r="I78" s="118"/>
      <c r="J78" s="119"/>
    </row>
    <row r="79" spans="3:10" ht="15.75" thickBot="1" x14ac:dyDescent="0.3">
      <c r="C79" s="122" t="str">
        <f>IF('NRE Calculator'!$AE$13="",$C$119,IF(OR(days!$E$3="limited treaty",$D$31="No"),$C$120,$C$121))</f>
        <v>Please select a country/region under Section 1.</v>
      </c>
      <c r="D79" s="123"/>
      <c r="E79" s="123"/>
      <c r="F79" s="123"/>
      <c r="G79" s="123"/>
      <c r="H79" s="123"/>
      <c r="I79" s="123"/>
      <c r="J79" s="124"/>
    </row>
    <row r="80" spans="3:10" ht="15.75" thickBot="1" x14ac:dyDescent="0.3"/>
    <row r="81" spans="3:10" x14ac:dyDescent="0.25">
      <c r="C81" s="170" t="s">
        <v>349</v>
      </c>
      <c r="D81" s="118"/>
      <c r="E81" s="118"/>
      <c r="F81" s="118"/>
      <c r="G81" s="118"/>
      <c r="H81" s="118"/>
      <c r="I81" s="118"/>
      <c r="J81" s="119"/>
    </row>
    <row r="82" spans="3:10" x14ac:dyDescent="0.25">
      <c r="C82" s="120" t="str">
        <f>IF('NRE Calculator'!$AE$13="",$C$119,IF(OR(days!$E$3="limited treaty",$D$31="No"),$C$120,$C$122))</f>
        <v>Please select a country/region under Section 1.</v>
      </c>
      <c r="J82" s="121"/>
    </row>
    <row r="83" spans="3:10" x14ac:dyDescent="0.25">
      <c r="C83" s="120"/>
      <c r="J83" s="121"/>
    </row>
    <row r="84" spans="3:10" ht="15.75" thickBot="1" x14ac:dyDescent="0.3">
      <c r="C84" s="122" t="str">
        <f>IF('NRE Calculator'!$AE$13="",$C$123,IF(OR(days!$E$3="limited treaty",$D$31="No"),$C$125,IF(days!$E$3="moving",$C$124,$C$123)))</f>
        <v xml:space="preserve">Please enter your current and prior visit(s), if any:- </v>
      </c>
      <c r="D84" s="123"/>
      <c r="E84" s="123"/>
      <c r="F84" s="123"/>
      <c r="G84" s="123"/>
      <c r="H84" s="123"/>
      <c r="I84" s="123"/>
      <c r="J84" s="124"/>
    </row>
    <row r="85" spans="3:10" ht="15.75" thickBot="1" x14ac:dyDescent="0.3"/>
    <row r="86" spans="3:10" x14ac:dyDescent="0.25">
      <c r="C86" s="170" t="s">
        <v>350</v>
      </c>
      <c r="D86" s="118"/>
      <c r="E86" s="118"/>
      <c r="F86" s="118"/>
      <c r="G86" s="118"/>
      <c r="H86" s="118"/>
      <c r="I86" s="118"/>
      <c r="J86" s="119"/>
    </row>
    <row r="87" spans="3:10" x14ac:dyDescent="0.25">
      <c r="C87" s="120" t="s">
        <v>351</v>
      </c>
      <c r="J87" s="121"/>
    </row>
    <row r="88" spans="3:10" x14ac:dyDescent="0.25">
      <c r="C88" s="120" t="e">
        <f>IF(G27="","",CONCATENATE(G27,IF(C89="",".","; and")))</f>
        <v>#N/A</v>
      </c>
      <c r="J88" s="121"/>
    </row>
    <row r="89" spans="3:10" x14ac:dyDescent="0.25">
      <c r="C89" s="120" t="e">
        <f>IF(G28="","",CONCATENATE(G28,IF(C90="",".","; and")))</f>
        <v>#N/A</v>
      </c>
      <c r="J89" s="121"/>
    </row>
    <row r="90" spans="3:10" x14ac:dyDescent="0.25">
      <c r="C90" s="120" t="e">
        <f>IF(G29="","",CONCATENATE(G29,IF(C91="",".","; and")))</f>
        <v>#N/A</v>
      </c>
      <c r="J90" s="121"/>
    </row>
    <row r="91" spans="3:10" ht="15.75" thickBot="1" x14ac:dyDescent="0.3">
      <c r="C91" s="122" t="e">
        <f ca="1">IF(OR(G29="",G29=C129),"",CONCATENATE(C129,"."))</f>
        <v>#N/A</v>
      </c>
      <c r="D91" s="123"/>
      <c r="E91" s="123"/>
      <c r="F91" s="123"/>
      <c r="G91" s="123"/>
      <c r="H91" s="123"/>
      <c r="I91" s="123"/>
      <c r="J91" s="124"/>
    </row>
    <row r="92" spans="3:10" ht="15.75" thickBot="1" x14ac:dyDescent="0.3"/>
    <row r="93" spans="3:10" x14ac:dyDescent="0.25">
      <c r="C93" s="170" t="s">
        <v>352</v>
      </c>
      <c r="D93" s="118"/>
      <c r="E93" s="118"/>
      <c r="F93" s="118"/>
      <c r="G93" s="118"/>
      <c r="H93" s="118"/>
      <c r="I93" s="118"/>
      <c r="J93" s="119"/>
    </row>
    <row r="94" spans="3:10" x14ac:dyDescent="0.25">
      <c r="C94" s="120" t="s">
        <v>353</v>
      </c>
      <c r="J94" s="121"/>
    </row>
    <row r="95" spans="3:10" ht="15.75" thickBot="1" x14ac:dyDescent="0.3">
      <c r="C95" s="122" t="e">
        <f>HLOOKUP(2,$E$12:$M$18,7,FALSE)</f>
        <v>#N/A</v>
      </c>
      <c r="D95" s="123"/>
      <c r="E95" s="123"/>
      <c r="F95" s="123"/>
      <c r="G95" s="123"/>
      <c r="H95" s="123"/>
      <c r="I95" s="123"/>
      <c r="J95" s="124"/>
    </row>
    <row r="97" spans="3:16" x14ac:dyDescent="0.25">
      <c r="C97" s="142" t="s">
        <v>354</v>
      </c>
    </row>
    <row r="98" spans="3:16" x14ac:dyDescent="0.25">
      <c r="C98" t="s">
        <v>355</v>
      </c>
    </row>
    <row r="99" spans="3:16" x14ac:dyDescent="0.25">
      <c r="C99" t="s">
        <v>356</v>
      </c>
    </row>
    <row r="100" spans="3:16" ht="43.9" customHeight="1" x14ac:dyDescent="0.25">
      <c r="C100" s="509" t="s">
        <v>357</v>
      </c>
      <c r="D100" s="509"/>
      <c r="E100" s="509"/>
      <c r="F100" s="509"/>
      <c r="G100" s="509"/>
      <c r="H100" s="509"/>
      <c r="I100" s="509"/>
      <c r="J100" s="509"/>
      <c r="K100" s="509"/>
      <c r="L100" s="509"/>
      <c r="M100" s="509"/>
      <c r="N100" s="509"/>
      <c r="O100" s="509"/>
      <c r="P100" s="509"/>
    </row>
    <row r="101" spans="3:16" ht="18" customHeight="1" x14ac:dyDescent="0.25">
      <c r="C101" t="e">
        <f>CONCATENATE("The Avoidance of Double Taxation Agreement is effective from the year ",$N$6,".")</f>
        <v>#N/A</v>
      </c>
    </row>
    <row r="102" spans="3:16" x14ac:dyDescent="0.25">
      <c r="C102" t="e">
        <f>CONCATENATE("Based on the information furnished by you, you do not qualify for tax exemption under the DTA between Singapore and ",VLOOKUP($B$6,matrix,16,FALSE)," for the following reason",IF(COUNTIF($D$27:$D$30,"No")&gt;1,"s",""),":")</f>
        <v>#N/A</v>
      </c>
    </row>
    <row r="103" spans="3:16" x14ac:dyDescent="0.25">
      <c r="D103" t="s">
        <v>358</v>
      </c>
    </row>
    <row r="104" spans="3:16" x14ac:dyDescent="0.25">
      <c r="D104" t="s">
        <v>359</v>
      </c>
      <c r="E104" s="204" t="str">
        <f>"'If I work for a foreign employer'."</f>
        <v>'If I work for a foreign employer'.</v>
      </c>
    </row>
    <row r="105" spans="3:16" x14ac:dyDescent="0.25">
      <c r="C105" t="e">
        <f>CONCATENATE("Based on the information furnished, you would qualify for exemption from Singapore income tax under the DTA between Singapore and ",VLOOKUP($B$6,matrix,16,FALSE),".")</f>
        <v>#N/A</v>
      </c>
    </row>
    <row r="106" spans="3:16" x14ac:dyDescent="0.25">
      <c r="D106" t="s">
        <v>360</v>
      </c>
    </row>
    <row r="107" spans="3:16" x14ac:dyDescent="0.25">
      <c r="D107" t="str">
        <f>""</f>
        <v/>
      </c>
    </row>
    <row r="108" spans="3:16" x14ac:dyDescent="0.25">
      <c r="D108" t="e">
        <f>CONCATENATE("Alternatively, you may submit a Certificate of Residence issued by ",VLOOKUP($B$6,matrix,16,FALSE)," together with the Claim Form (page 2).",IF(OR($B$6="United Kingdom",$B$6="Australia",$B$6="New Zealand",$B$6="Ireland"),""," If the Certificate of Residence is in a foreign language, an English translation is required."))</f>
        <v>#N/A</v>
      </c>
    </row>
    <row r="109" spans="3:16" x14ac:dyDescent="0.25">
      <c r="C109" t="e">
        <f ca="1">CONCATENATE("Year ",days!I26,CHAR(10),"(a) Tax exemption applies. To claim exemption from Singapore income tax, please submit the completed")</f>
        <v>#N/A</v>
      </c>
    </row>
    <row r="110" spans="3:16" x14ac:dyDescent="0.25">
      <c r="D110" t="str">
        <f>CONCATENATE("      and signed Claim Form (page 2) and original Certificate of Residence (page 3) below to the Comptroller of",CHAR(10),"      Income Tax.")</f>
        <v xml:space="preserve">      and signed Claim Form (page 2) and original Certificate of Residence (page 3) below to the Comptroller of
      Income Tax.</v>
      </c>
    </row>
    <row r="111" spans="3:16" x14ac:dyDescent="0.25">
      <c r="C111" t="e">
        <f ca="1">CONCATENATE("Year ",days!I27,CHAR(10),"(b) Tax exemption does not apply under the DTA between Singapore and ",VLOOKUP($B$6,matrix,16,FALSE))</f>
        <v>#N/A</v>
      </c>
    </row>
    <row r="112" spans="3:16" x14ac:dyDescent="0.25">
      <c r="D112" t="s">
        <v>361</v>
      </c>
    </row>
    <row r="113" spans="2:3" x14ac:dyDescent="0.25">
      <c r="C113" s="282" t="s">
        <v>362</v>
      </c>
    </row>
    <row r="114" spans="2:3" x14ac:dyDescent="0.25">
      <c r="C114" s="282" t="s">
        <v>363</v>
      </c>
    </row>
    <row r="115" spans="2:3" x14ac:dyDescent="0.25">
      <c r="C115" s="282" t="s">
        <v>364</v>
      </c>
    </row>
    <row r="116" spans="2:3" x14ac:dyDescent="0.25">
      <c r="C116" s="282" t="s">
        <v>365</v>
      </c>
    </row>
    <row r="117" spans="2:3" x14ac:dyDescent="0.25">
      <c r="C117" s="282" t="s">
        <v>366</v>
      </c>
    </row>
    <row r="118" spans="2:3" x14ac:dyDescent="0.25">
      <c r="C118" s="282" t="s">
        <v>367</v>
      </c>
    </row>
    <row r="119" spans="2:3" x14ac:dyDescent="0.25">
      <c r="C119" t="s">
        <v>368</v>
      </c>
    </row>
    <row r="120" spans="2:3" x14ac:dyDescent="0.25">
      <c r="C120" t="s">
        <v>369</v>
      </c>
    </row>
    <row r="121" spans="2:3" x14ac:dyDescent="0.25">
      <c r="C121" t="s">
        <v>370</v>
      </c>
    </row>
    <row r="122" spans="2:3" x14ac:dyDescent="0.25">
      <c r="C122" t="s">
        <v>371</v>
      </c>
    </row>
    <row r="123" spans="2:3" x14ac:dyDescent="0.25">
      <c r="C123" t="s">
        <v>372</v>
      </c>
    </row>
    <row r="124" spans="2:3" x14ac:dyDescent="0.25">
      <c r="C124" t="e">
        <f ca="1">CONCATENATE("Please enter your current and prior visit(s) in any 12-month period falling within the years ",YEAR('NRE Calculator'!$AX$37)," to ",YEAR('NRE Calculator'!$AZ$37),":-")</f>
        <v>#VALUE!</v>
      </c>
    </row>
    <row r="125" spans="2:3" x14ac:dyDescent="0.25">
      <c r="C125" t="s">
        <v>373</v>
      </c>
    </row>
    <row r="127" spans="2:3" x14ac:dyDescent="0.25">
      <c r="B127" s="126" t="s">
        <v>374</v>
      </c>
      <c r="C127" t="s">
        <v>375</v>
      </c>
    </row>
    <row r="129" spans="2:11" x14ac:dyDescent="0.25">
      <c r="C129" t="e">
        <f ca="1">IF('NRE Calculator'!AS142="show",CONCATENATE("I am a resident of ",VLOOKUP(B6,matrix,16,FALSE)," for the years ",days!$E$25," and ",days!$F$25),CONCATENATE("I am a resident of ",VLOOKUP(B6,matrix,16,FALSE)," for the year ",IF(days!$I$26="",days!$E$25,days!$I$26)))</f>
        <v>#N/A</v>
      </c>
    </row>
    <row r="132" spans="2:11" ht="15.75" thickBot="1" x14ac:dyDescent="0.3"/>
    <row r="133" spans="2:11" ht="25.5" customHeight="1" x14ac:dyDescent="0.25">
      <c r="C133" s="170" t="s">
        <v>342</v>
      </c>
      <c r="D133" s="197" t="s">
        <v>376</v>
      </c>
      <c r="E133" s="118"/>
      <c r="F133" s="171"/>
      <c r="G133" s="118"/>
      <c r="H133" s="118"/>
      <c r="I133" s="118"/>
      <c r="J133" s="119"/>
    </row>
    <row r="134" spans="2:11" x14ac:dyDescent="0.25">
      <c r="C134" s="120" t="str">
        <f ca="1">IF(days!H56="YesYes",C160,IF(days!H56="YesNo",C169,IF(days!H56="Yesna",C178,"")))</f>
        <v/>
      </c>
      <c r="J134" s="121"/>
    </row>
    <row r="135" spans="2:11" x14ac:dyDescent="0.25">
      <c r="C135" s="120" t="str">
        <f ca="1">IF(days!H56="YesYes",C161,IF(days!H56="YesNo",C170,IF(days!H56="Yesna",C179,"")))</f>
        <v/>
      </c>
      <c r="J135" s="121"/>
    </row>
    <row r="136" spans="2:11" x14ac:dyDescent="0.25">
      <c r="C136" s="120" t="str">
        <f ca="1">IF(days!H56="YesYes",C162,IF(days!H56="YesNo",C171,IF(days!H56="Yesna",C180,"")))</f>
        <v/>
      </c>
      <c r="J136" s="121"/>
    </row>
    <row r="137" spans="2:11" x14ac:dyDescent="0.25">
      <c r="C137" s="120" t="str">
        <f ca="1">IF(days!H56="YesYes",C163,IF(days!H56="YesNo",C172,IF(days!H56="Yesna",C181,"")))</f>
        <v/>
      </c>
      <c r="J137" s="121"/>
    </row>
    <row r="138" spans="2:11" x14ac:dyDescent="0.25">
      <c r="C138" s="120" t="str">
        <f ca="1">IF(days!H56="YesYes",C164,IF(days!H56="YesNo",C173,IF(days!H56="Yesna",C182,"")))</f>
        <v/>
      </c>
      <c r="J138" s="121"/>
    </row>
    <row r="139" spans="2:11" x14ac:dyDescent="0.25">
      <c r="C139" s="120" t="str">
        <f ca="1">IF(days!H56="YesYes",C165,IF(days!H56="YesNo",C174,IF(days!H56="Yesna",C183,"")))</f>
        <v/>
      </c>
      <c r="J139" s="121"/>
    </row>
    <row r="140" spans="2:11" ht="15.75" thickBot="1" x14ac:dyDescent="0.3">
      <c r="C140" s="122" t="str">
        <f ca="1">IF(days!H56="YesYes",C166,IF(days!H56="YesNo",C175,IF(days!H56="Yesna",C184,"")))</f>
        <v/>
      </c>
      <c r="D140" s="123"/>
      <c r="E140" s="123"/>
      <c r="F140" s="123"/>
      <c r="G140" s="123" t="str">
        <f ca="1">IF(days!H56="YesYes",G166,IF(days!H56="YesNo",G175,IF(days!H56="Yesna",G184,"")))</f>
        <v/>
      </c>
      <c r="H140" s="123"/>
      <c r="I140" s="123"/>
      <c r="J140" s="124"/>
    </row>
    <row r="142" spans="2:11" ht="25.5" customHeight="1" x14ac:dyDescent="0.5">
      <c r="B142" s="377" t="s">
        <v>377</v>
      </c>
      <c r="C142" s="366" t="s">
        <v>378</v>
      </c>
      <c r="D142" s="365"/>
      <c r="E142" s="365"/>
      <c r="F142" s="365"/>
      <c r="G142" s="365"/>
      <c r="H142" s="365"/>
      <c r="I142" s="365"/>
      <c r="J142" s="365"/>
      <c r="K142" s="377" t="s">
        <v>379</v>
      </c>
    </row>
    <row r="143" spans="2:11" x14ac:dyDescent="0.25">
      <c r="B143" s="377"/>
      <c r="K143" s="377"/>
    </row>
    <row r="144" spans="2:11" x14ac:dyDescent="0.25">
      <c r="B144" s="377"/>
      <c r="D144" s="378" t="s">
        <v>380</v>
      </c>
      <c r="E144" s="379"/>
      <c r="F144" s="379"/>
      <c r="G144" s="379"/>
      <c r="H144" s="379"/>
      <c r="I144" s="380"/>
      <c r="K144" s="377"/>
    </row>
    <row r="145" spans="2:11" x14ac:dyDescent="0.25">
      <c r="B145" s="377"/>
      <c r="D145" s="372" t="s">
        <v>381</v>
      </c>
      <c r="E145" s="373" t="s">
        <v>382</v>
      </c>
      <c r="F145" s="373"/>
      <c r="G145" s="373"/>
      <c r="H145" s="373"/>
      <c r="I145" s="374"/>
      <c r="K145" s="377"/>
    </row>
    <row r="146" spans="2:11" x14ac:dyDescent="0.25">
      <c r="B146" s="377"/>
      <c r="D146" s="367" t="s">
        <v>383</v>
      </c>
      <c r="E146" t="str">
        <f>CONCATENATE("I",ROW(days!I26)," ; ","I",ROW(days!I27),".")</f>
        <v>I26 ; I27.</v>
      </c>
      <c r="I146" s="368"/>
      <c r="K146" s="377"/>
    </row>
    <row r="147" spans="2:11" x14ac:dyDescent="0.25">
      <c r="B147" s="377"/>
      <c r="D147" s="367" t="s">
        <v>384</v>
      </c>
      <c r="E147" t="str">
        <f>CONCATENATE("AX",ROW('NRE Calculator'!AX39)," ; ","D",ROW('NRE Calculator'!D59)," ; ","D",ROW('NRE Calculator'!D60)," ; ","D",ROW('NRE Calculator'!D61)," ; ","D",ROW('NRE Calculator'!D62)," ; ","D",ROW('NRE Calculator'!D63)," ; ","D",ROW('NRE Calculator'!D64)," ; ","D",ROW('NRE Calculator'!D65)," ; ","Y",ROW('NRE Calculator'!D65),".")</f>
        <v>AX39 ; D59 ; D60 ; D61 ; D62 ; D63 ; D64 ; D65 ; Y65.</v>
      </c>
      <c r="I147" s="368"/>
      <c r="K147" s="377"/>
    </row>
    <row r="148" spans="2:11" x14ac:dyDescent="0.25">
      <c r="B148" s="377"/>
      <c r="D148" s="369" t="s">
        <v>385</v>
      </c>
      <c r="E148" s="370" t="str">
        <f>CONCATENATE("D",ROW(D30)," ; ","F",ROW(F30)," ; ")&amp;CONCATENATE("C",ROW(C46)," - ","J",ROW(J52)," ; ","C",ROW(C55)," - ","J",ROW(J61)," ; ","BE",ROW(BE89)," - ","BF",ROW(BF101)," ; ","C",ROW(C134)," - ","J",ROW(J140),".")</f>
        <v>D30 ; F30 ; C46 - J52 ; C55 - J61 ; BE89 - BF101 ; C134 - J140.</v>
      </c>
      <c r="F148" s="370"/>
      <c r="G148" s="370"/>
      <c r="H148" s="370"/>
      <c r="I148" s="371"/>
      <c r="K148" s="377"/>
    </row>
    <row r="149" spans="2:11" x14ac:dyDescent="0.25">
      <c r="B149" s="377"/>
      <c r="K149" s="377"/>
    </row>
    <row r="150" spans="2:11" x14ac:dyDescent="0.25">
      <c r="B150" s="377"/>
      <c r="C150" s="365"/>
      <c r="D150" s="365"/>
      <c r="E150" s="365"/>
      <c r="F150" s="365"/>
      <c r="G150" s="365"/>
      <c r="H150" s="365"/>
      <c r="I150" s="365"/>
      <c r="J150" s="365"/>
      <c r="K150" s="377"/>
    </row>
    <row r="152" spans="2:11" x14ac:dyDescent="0.25">
      <c r="C152" t="str">
        <f ca="1">CONCATENATE("Year ",VLOOKUP(days!H56,days!$G$61:$J$69,3,FALSE),CHAR(10),"(a) To check your eligibility for tax exemption, please save and forward this calculator to 'taxqueries@iras.gov.sg', and")</f>
        <v>Year 
(a) To check your eligibility for tax exemption, please save and forward this calculator to 'taxqueries@iras.gov.sg', and</v>
      </c>
    </row>
    <row r="153" spans="2:11" x14ac:dyDescent="0.25">
      <c r="D153" t="e">
        <f>CONCATENATE("      confirm if your remuneration was paid by/on behalf of an employer who is a resident of ",VLOOKUP($B$6,matrix,16,FALSE),".")</f>
        <v>#N/A</v>
      </c>
    </row>
    <row r="154" spans="2:11" x14ac:dyDescent="0.25">
      <c r="C154" t="str">
        <f ca="1">CONCATENATE("Year ",VLOOKUP(days!H56,days!$G$61:$J$69,4,FALSE),CHAR(10),"(b) To check your eligibility for tax exemption, please save and forward this calculator to 'taxqueries@iras.gov.sg', and")</f>
        <v>Year 
(b) To check your eligibility for tax exemption, please save and forward this calculator to 'taxqueries@iras.gov.sg', and</v>
      </c>
    </row>
    <row r="155" spans="2:11" x14ac:dyDescent="0.25">
      <c r="D155" t="e">
        <f>CONCATENATE("      confirm if your remuneration was paid by/on behalf of an employer who is a resident of ",VLOOKUP($B$6,matrix,16,FALSE),".")</f>
        <v>#N/A</v>
      </c>
    </row>
    <row r="156" spans="2:11" x14ac:dyDescent="0.25">
      <c r="C156" t="str">
        <f ca="1">CONCATENATE("Year ",VLOOKUP(days!H56,days!$G$61:$J$69,3,FALSE),CHAR(10),"(a) Tax exemption applies. To claim exemption from Singapore income tax, please complete and submit")</f>
        <v>Year 
(a) Tax exemption applies. To claim exemption from Singapore income tax, please complete and submit</v>
      </c>
    </row>
    <row r="158" spans="2:11" ht="15.75" thickBot="1" x14ac:dyDescent="0.3"/>
    <row r="159" spans="2:11" x14ac:dyDescent="0.25">
      <c r="C159" s="170" t="s">
        <v>342</v>
      </c>
      <c r="D159" s="197" t="s">
        <v>386</v>
      </c>
      <c r="E159" s="118"/>
      <c r="F159" s="171"/>
      <c r="G159" s="118"/>
      <c r="H159" s="118"/>
      <c r="I159" s="118"/>
      <c r="J159" s="119"/>
    </row>
    <row r="160" spans="2:11" x14ac:dyDescent="0.25">
      <c r="C160" s="120" t="str">
        <f ca="1">C156</f>
        <v>Year 
(a) Tax exemption applies. To claim exemption from Singapore income tax, please complete and submit</v>
      </c>
      <c r="J160" s="121"/>
    </row>
    <row r="161" spans="3:10" x14ac:dyDescent="0.25">
      <c r="C161" s="120" t="str">
        <f>D110</f>
        <v xml:space="preserve">      and signed Claim Form (page 2) and original Certificate of Residence (page 3) below to the Comptroller of
      Income Tax.</v>
      </c>
      <c r="J161" s="121"/>
    </row>
    <row r="162" spans="3:10" x14ac:dyDescent="0.25">
      <c r="C162" s="120" t="str">
        <f>""</f>
        <v/>
      </c>
      <c r="J162" s="121"/>
    </row>
    <row r="163" spans="3:10" x14ac:dyDescent="0.25">
      <c r="C163" s="120" t="str">
        <f ca="1">C154</f>
        <v>Year 
(b) To check your eligibility for tax exemption, please save and forward this calculator to 'taxqueries@iras.gov.sg', and</v>
      </c>
      <c r="J163" s="121"/>
    </row>
    <row r="164" spans="3:10" x14ac:dyDescent="0.25">
      <c r="C164" s="120" t="e">
        <f>D155</f>
        <v>#N/A</v>
      </c>
      <c r="J164" s="121"/>
    </row>
    <row r="165" spans="3:10" x14ac:dyDescent="0.25">
      <c r="C165" s="120" t="str">
        <f>""</f>
        <v/>
      </c>
      <c r="J165" s="121"/>
    </row>
    <row r="166" spans="3:10" ht="15.75" thickBot="1" x14ac:dyDescent="0.3">
      <c r="C166" s="122" t="str">
        <f>""</f>
        <v/>
      </c>
      <c r="D166" s="123"/>
      <c r="E166" s="123"/>
      <c r="F166" s="123"/>
      <c r="G166" s="123" t="str">
        <f>""</f>
        <v/>
      </c>
      <c r="H166" s="123"/>
      <c r="I166" s="123"/>
      <c r="J166" s="124"/>
    </row>
    <row r="167" spans="3:10" ht="15.75" thickBot="1" x14ac:dyDescent="0.3"/>
    <row r="168" spans="3:10" x14ac:dyDescent="0.25">
      <c r="C168" s="170" t="s">
        <v>342</v>
      </c>
      <c r="D168" s="197" t="s">
        <v>387</v>
      </c>
      <c r="E168" s="118"/>
      <c r="F168" s="171"/>
      <c r="G168" s="118"/>
      <c r="H168" s="118"/>
      <c r="I168" s="118"/>
      <c r="J168" s="119"/>
    </row>
    <row r="169" spans="3:10" x14ac:dyDescent="0.25">
      <c r="C169" s="120" t="str">
        <f ca="1">C152</f>
        <v>Year 
(a) To check your eligibility for tax exemption, please save and forward this calculator to 'taxqueries@iras.gov.sg', and</v>
      </c>
      <c r="J169" s="121"/>
    </row>
    <row r="170" spans="3:10" x14ac:dyDescent="0.25">
      <c r="C170" s="120" t="e">
        <f>D153</f>
        <v>#N/A</v>
      </c>
      <c r="J170" s="121"/>
    </row>
    <row r="171" spans="3:10" x14ac:dyDescent="0.25">
      <c r="C171" s="120" t="e">
        <f ca="1">C111</f>
        <v>#N/A</v>
      </c>
      <c r="J171" s="121"/>
    </row>
    <row r="172" spans="3:10" x14ac:dyDescent="0.25">
      <c r="C172" s="120" t="str">
        <f>D112</f>
        <v xml:space="preserve">      for the following reason:</v>
      </c>
      <c r="J172" s="121"/>
    </row>
    <row r="173" spans="3:10" x14ac:dyDescent="0.25">
      <c r="C173" s="120" t="str">
        <f>CONCATENATE("      -   ",VLOOKUP(B38,$E$27:$F$30,2))</f>
        <v xml:space="preserve">      -   </v>
      </c>
      <c r="J173" s="121"/>
    </row>
    <row r="174" spans="3:10" x14ac:dyDescent="0.25">
      <c r="C174" s="120" t="str">
        <f>CONCATENATE("      ",C69)</f>
        <v xml:space="preserve">      Your income attributable to your services rendered in Singapore will be subject to tax in Singapore.</v>
      </c>
      <c r="J174" s="121"/>
    </row>
    <row r="175" spans="3:10" ht="15.75" thickBot="1" x14ac:dyDescent="0.3">
      <c r="C175" s="122" t="str">
        <f>CONCATENATE("      ",C70)</f>
        <v xml:space="preserve">      For more information on your tax obligations, please click on</v>
      </c>
      <c r="D175" s="123"/>
      <c r="E175" s="123"/>
      <c r="F175" s="123"/>
      <c r="G175" s="123" t="str">
        <f>G70</f>
        <v>'If I work for a foreign employer'.</v>
      </c>
      <c r="H175" s="123"/>
      <c r="I175" s="123"/>
      <c r="J175" s="124"/>
    </row>
    <row r="176" spans="3:10" ht="15.75" thickBot="1" x14ac:dyDescent="0.3"/>
    <row r="177" spans="3:10" x14ac:dyDescent="0.25">
      <c r="C177" s="170" t="s">
        <v>342</v>
      </c>
      <c r="D177" s="197" t="s">
        <v>388</v>
      </c>
      <c r="E177" s="118"/>
      <c r="F177" s="171"/>
      <c r="G177" s="118"/>
      <c r="H177" s="118"/>
      <c r="I177" s="118"/>
      <c r="J177" s="119"/>
    </row>
    <row r="178" spans="3:10" x14ac:dyDescent="0.25">
      <c r="C178" s="120" t="str">
        <f>""</f>
        <v/>
      </c>
      <c r="J178" s="121"/>
    </row>
    <row r="179" spans="3:10" x14ac:dyDescent="0.25">
      <c r="C179" s="120" t="s">
        <v>389</v>
      </c>
      <c r="J179" s="121"/>
    </row>
    <row r="180" spans="3:10" x14ac:dyDescent="0.25">
      <c r="C180" s="120" t="e">
        <f>CONCATENATE("confirm if your remuneration was paid by/on behalf of an employer who is a resident of ",VLOOKUP($B$6,matrix,16,FALSE),".")</f>
        <v>#N/A</v>
      </c>
      <c r="J180" s="121"/>
    </row>
    <row r="181" spans="3:10" x14ac:dyDescent="0.25">
      <c r="C181" s="120" t="str">
        <f>""</f>
        <v/>
      </c>
      <c r="J181" s="121"/>
    </row>
    <row r="182" spans="3:10" x14ac:dyDescent="0.25">
      <c r="C182" s="120" t="str">
        <f>""</f>
        <v/>
      </c>
      <c r="J182" s="121"/>
    </row>
    <row r="183" spans="3:10" x14ac:dyDescent="0.25">
      <c r="C183" s="120" t="str">
        <f>""</f>
        <v/>
      </c>
      <c r="J183" s="121"/>
    </row>
    <row r="184" spans="3:10" ht="15.75" thickBot="1" x14ac:dyDescent="0.3">
      <c r="C184" s="122" t="str">
        <f>""</f>
        <v/>
      </c>
      <c r="D184" s="123"/>
      <c r="E184" s="123"/>
      <c r="F184" s="123"/>
      <c r="G184" s="123" t="str">
        <f>""</f>
        <v/>
      </c>
      <c r="H184" s="123"/>
      <c r="I184" s="123"/>
      <c r="J184" s="124"/>
    </row>
  </sheetData>
  <mergeCells count="2">
    <mergeCell ref="C34:D34"/>
    <mergeCell ref="C100:P100"/>
  </mergeCells>
  <phoneticPr fontId="4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6B192-D3B6-463C-813F-FC0A4CB206B1}">
  <sheetPr codeName="Sheet4"/>
  <dimension ref="A2:AK69"/>
  <sheetViews>
    <sheetView topLeftCell="AL1" zoomScale="85" zoomScaleNormal="85" workbookViewId="0">
      <selection activeCell="D47" sqref="D47"/>
    </sheetView>
  </sheetViews>
  <sheetFormatPr defaultRowHeight="15" x14ac:dyDescent="0.25"/>
  <cols>
    <col min="1" max="1" width="14.140625" hidden="1" customWidth="1"/>
    <col min="2" max="2" width="12.7109375" hidden="1" customWidth="1"/>
    <col min="3" max="3" width="10.7109375" hidden="1" customWidth="1"/>
    <col min="4" max="4" width="18.7109375" hidden="1" customWidth="1"/>
    <col min="5" max="6" width="10.7109375" hidden="1" customWidth="1"/>
    <col min="7" max="7" width="11.42578125" hidden="1" customWidth="1"/>
    <col min="8" max="8" width="19.5703125" hidden="1" customWidth="1"/>
    <col min="9" max="12" width="12.5703125" hidden="1" customWidth="1"/>
    <col min="13" max="13" width="7.28515625" hidden="1" customWidth="1"/>
    <col min="14" max="14" width="91.7109375" hidden="1" customWidth="1"/>
    <col min="15" max="15" width="14.140625" hidden="1" customWidth="1"/>
    <col min="16" max="16" width="6" hidden="1" customWidth="1"/>
    <col min="17" max="26" width="14.42578125" hidden="1" customWidth="1"/>
    <col min="27" max="28" width="14.140625" hidden="1" customWidth="1"/>
    <col min="29" max="29" width="23.42578125" hidden="1" customWidth="1"/>
    <col min="30" max="30" width="25.28515625" hidden="1" customWidth="1"/>
    <col min="31" max="31" width="26.7109375" hidden="1" customWidth="1"/>
    <col min="32" max="32" width="10.5703125" hidden="1" customWidth="1"/>
    <col min="33" max="33" width="15.140625" hidden="1" customWidth="1"/>
    <col min="34" max="34" width="16.42578125" hidden="1" customWidth="1"/>
    <col min="35" max="35" width="24.42578125" hidden="1" customWidth="1"/>
    <col min="36" max="36" width="16.42578125" hidden="1" customWidth="1"/>
    <col min="37" max="37" width="10.5703125" hidden="1" customWidth="1"/>
    <col min="38" max="38" width="9.140625" customWidth="1"/>
  </cols>
  <sheetData>
    <row r="2" spans="4:14" x14ac:dyDescent="0.25">
      <c r="D2" s="126" t="s">
        <v>390</v>
      </c>
      <c r="E2">
        <f>'NRE Calculator'!AE13</f>
        <v>0</v>
      </c>
    </row>
    <row r="3" spans="4:14" ht="30" customHeight="1" x14ac:dyDescent="0.25">
      <c r="D3" s="138" t="s">
        <v>391</v>
      </c>
      <c r="E3" t="str">
        <f>IF('NRE Calculator'!$AE$13="","",IF(VLOOKUP(E2,matrix,2,FALSE)=1,"calendar",IF(VLOOKUP(days!E2,matrix,3,FALSE)=1,"moving","limited treaty")))</f>
        <v/>
      </c>
    </row>
    <row r="4" spans="4:14" x14ac:dyDescent="0.25">
      <c r="D4" s="126" t="s">
        <v>392</v>
      </c>
      <c r="E4" s="140" t="str">
        <f>IF(E3="calendar",MAX(I25:J25),IF(E3="moving",MAX(M32:M41),""))</f>
        <v/>
      </c>
      <c r="F4" s="141" t="s">
        <v>393</v>
      </c>
      <c r="G4" s="141"/>
      <c r="H4" t="str">
        <f>IF(AND(I25&gt;183,J25&gt;183),CONCATENATE("s ",I12," and ",J12,"."),IF(I25&gt;183,CONCATENATE(" ",I12,"."),IF(J25&gt;183,CONCATENATE(" ",J12,"."),"?")))</f>
        <v>?</v>
      </c>
    </row>
    <row r="6" spans="4:14" x14ac:dyDescent="0.25">
      <c r="E6" s="17"/>
      <c r="F6" s="17" t="s">
        <v>11</v>
      </c>
      <c r="G6" s="18" t="s">
        <v>55</v>
      </c>
      <c r="H6" s="18" t="s">
        <v>394</v>
      </c>
    </row>
    <row r="7" spans="4:14" x14ac:dyDescent="0.25">
      <c r="D7" s="20" t="s">
        <v>395</v>
      </c>
      <c r="E7" s="21">
        <f ca="1">YEAR(TODAY())-1</f>
        <v>2025</v>
      </c>
      <c r="F7" s="22">
        <f ca="1">DATE(E7,1,1)</f>
        <v>45658</v>
      </c>
      <c r="G7" s="22">
        <f ca="1">DATE(E7,12,31)</f>
        <v>46022</v>
      </c>
      <c r="H7" s="22">
        <f ca="1">DATE(YEAR(TODAY())+1,12,31)</f>
        <v>46752</v>
      </c>
    </row>
    <row r="8" spans="4:14" x14ac:dyDescent="0.25">
      <c r="D8" s="20" t="s">
        <v>396</v>
      </c>
      <c r="E8" s="21">
        <f ca="1">YEAR(TODAY())</f>
        <v>2026</v>
      </c>
      <c r="F8" s="22">
        <f ca="1">DATE(E8,1,1)</f>
        <v>46023</v>
      </c>
      <c r="G8" s="22">
        <f ca="1">DATE(E8,12,31)</f>
        <v>46387</v>
      </c>
      <c r="H8" s="22">
        <f ca="1">DATE(YEAR(TODAY())+1,12,31)</f>
        <v>46752</v>
      </c>
    </row>
    <row r="11" spans="4:14" x14ac:dyDescent="0.25">
      <c r="G11" s="510" t="s">
        <v>397</v>
      </c>
      <c r="H11" s="510"/>
      <c r="I11" s="511" t="s">
        <v>398</v>
      </c>
      <c r="J11" s="511"/>
      <c r="K11" s="130"/>
      <c r="L11" s="130"/>
    </row>
    <row r="12" spans="4:14" x14ac:dyDescent="0.25">
      <c r="D12" s="130" t="s">
        <v>399</v>
      </c>
      <c r="E12" s="133" t="str">
        <f>'NRE Calculator'!M38</f>
        <v>Date From</v>
      </c>
      <c r="F12" s="133" t="str">
        <f>'NRE Calculator'!R38</f>
        <v>Date To</v>
      </c>
      <c r="G12" s="136">
        <f ca="1">E7</f>
        <v>2025</v>
      </c>
      <c r="H12" s="136">
        <f ca="1">E8</f>
        <v>2026</v>
      </c>
      <c r="I12" s="134">
        <f ca="1">E7</f>
        <v>2025</v>
      </c>
      <c r="J12" s="134">
        <f ca="1">E8</f>
        <v>2026</v>
      </c>
      <c r="K12" s="134"/>
      <c r="L12" s="134"/>
      <c r="N12" s="135" t="s">
        <v>400</v>
      </c>
    </row>
    <row r="13" spans="4:14" x14ac:dyDescent="0.25">
      <c r="D13" s="1" t="str">
        <f>'NRE Calculator'!F39</f>
        <v>Period 1</v>
      </c>
      <c r="E13" s="128" t="str">
        <f>IF('NRE Calculator'!M39="","",'NRE Calculator'!M39)</f>
        <v/>
      </c>
      <c r="F13" s="128" t="str">
        <f>IF('NRE Calculator'!R39="","",'NRE Calculator'!R39)</f>
        <v/>
      </c>
      <c r="G13" s="116" t="str">
        <f>IF(OR(E13="",F13=""),"",IF(AND(YEAR(E13)=$G$12,YEAR(F13)=$G$12),F13-E13+1,$G$7-E13+1))</f>
        <v/>
      </c>
      <c r="H13" s="116" t="str">
        <f>IF(OR(E13="",F13=""),"",IF(AND(YEAR(E13)=$H$12,YEAR(F13)=$H$12),F13-E13+1,F13-$F$8+1))</f>
        <v/>
      </c>
      <c r="I13" t="str">
        <f>IF(G13&lt;=0,0,G13)</f>
        <v/>
      </c>
      <c r="J13" t="str">
        <f>IF(H13&lt;=0,0,H13)</f>
        <v/>
      </c>
      <c r="K13">
        <f>SUM(I13:J13)</f>
        <v>0</v>
      </c>
      <c r="N13" t="str">
        <f t="shared" ref="N13:N24" si="0">CONCATENATE($D$47,K13,IF(K13=1," day "," days "),$E$47,TEXT(E13,"DD-MMM-YYYY"),$F$47,TEXT(F13,"DD-MMM-YYYY"),$G$47)</f>
        <v>Your stay in Singapore totalled 0 days 
from  to .</v>
      </c>
    </row>
    <row r="14" spans="4:14" x14ac:dyDescent="0.25">
      <c r="D14" s="1" t="str">
        <f>'NRE Calculator'!F40</f>
        <v>Period 2</v>
      </c>
      <c r="E14" s="128" t="str">
        <f>IF('NRE Calculator'!M40="","",'NRE Calculator'!M40)</f>
        <v/>
      </c>
      <c r="F14" s="128" t="str">
        <f>IF('NRE Calculator'!R40="","",'NRE Calculator'!R40)</f>
        <v/>
      </c>
      <c r="G14" s="116" t="str">
        <f t="shared" ref="G14:G22" si="1">IF(OR(E14="",F14=""),"",IF(AND(YEAR(E14)=$G$12,YEAR(F14)=$G$12),F14-E14+1,$G$7-E14+1))</f>
        <v/>
      </c>
      <c r="H14" s="116" t="str">
        <f t="shared" ref="H14:H22" si="2">IF(OR(E14="",F14=""),"",IF(AND(YEAR(E14)=$H$12,YEAR(F14)=$H$12),F14-E14+1,F14-$F$8+1))</f>
        <v/>
      </c>
      <c r="I14" t="str">
        <f t="shared" ref="I14:I22" si="3">IF(G14&lt;=0,0,G14)</f>
        <v/>
      </c>
      <c r="J14" t="str">
        <f t="shared" ref="J14:J22" si="4">IF(H14&lt;=0,0,H14)</f>
        <v/>
      </c>
      <c r="K14">
        <f t="shared" ref="K14:K22" si="5">SUM(I14:J14)</f>
        <v>0</v>
      </c>
      <c r="N14" t="str">
        <f t="shared" si="0"/>
        <v>Your stay in Singapore totalled 0 days 
from  to .</v>
      </c>
    </row>
    <row r="15" spans="4:14" x14ac:dyDescent="0.25">
      <c r="D15" s="1" t="str">
        <f>'NRE Calculator'!F41</f>
        <v>Period 3</v>
      </c>
      <c r="E15" s="128" t="str">
        <f>IF('NRE Calculator'!M41="","",'NRE Calculator'!M41)</f>
        <v/>
      </c>
      <c r="F15" s="128" t="str">
        <f>IF('NRE Calculator'!R41="","",'NRE Calculator'!R41)</f>
        <v/>
      </c>
      <c r="G15" s="116" t="str">
        <f t="shared" si="1"/>
        <v/>
      </c>
      <c r="H15" s="116" t="str">
        <f t="shared" si="2"/>
        <v/>
      </c>
      <c r="I15" t="str">
        <f t="shared" si="3"/>
        <v/>
      </c>
      <c r="J15" t="str">
        <f t="shared" si="4"/>
        <v/>
      </c>
      <c r="K15">
        <f t="shared" si="5"/>
        <v>0</v>
      </c>
      <c r="N15" t="str">
        <f t="shared" si="0"/>
        <v>Your stay in Singapore totalled 0 days 
from  to .</v>
      </c>
    </row>
    <row r="16" spans="4:14" x14ac:dyDescent="0.25">
      <c r="D16" s="1" t="str">
        <f>'NRE Calculator'!F42</f>
        <v>Period 4</v>
      </c>
      <c r="E16" s="128" t="str">
        <f>IF('NRE Calculator'!M42="","",'NRE Calculator'!M42)</f>
        <v/>
      </c>
      <c r="F16" s="128" t="str">
        <f>IF('NRE Calculator'!R42="","",'NRE Calculator'!R42)</f>
        <v/>
      </c>
      <c r="G16" s="116" t="str">
        <f t="shared" si="1"/>
        <v/>
      </c>
      <c r="H16" s="116" t="str">
        <f t="shared" si="2"/>
        <v/>
      </c>
      <c r="I16" t="str">
        <f t="shared" si="3"/>
        <v/>
      </c>
      <c r="J16" t="str">
        <f t="shared" si="4"/>
        <v/>
      </c>
      <c r="K16">
        <f t="shared" si="5"/>
        <v>0</v>
      </c>
      <c r="N16" t="str">
        <f t="shared" si="0"/>
        <v>Your stay in Singapore totalled 0 days 
from  to .</v>
      </c>
    </row>
    <row r="17" spans="1:37" x14ac:dyDescent="0.25">
      <c r="D17" s="1" t="str">
        <f>'NRE Calculator'!F43</f>
        <v>Period 5</v>
      </c>
      <c r="E17" s="128" t="str">
        <f>IF('NRE Calculator'!M43="","",'NRE Calculator'!M43)</f>
        <v/>
      </c>
      <c r="F17" s="128" t="str">
        <f>IF('NRE Calculator'!R43="","",'NRE Calculator'!R43)</f>
        <v/>
      </c>
      <c r="G17" s="116" t="str">
        <f t="shared" si="1"/>
        <v/>
      </c>
      <c r="H17" s="116" t="str">
        <f t="shared" si="2"/>
        <v/>
      </c>
      <c r="I17" t="str">
        <f t="shared" si="3"/>
        <v/>
      </c>
      <c r="J17" t="str">
        <f t="shared" si="4"/>
        <v/>
      </c>
      <c r="K17">
        <f t="shared" si="5"/>
        <v>0</v>
      </c>
      <c r="N17" t="str">
        <f t="shared" si="0"/>
        <v>Your stay in Singapore totalled 0 days 
from  to .</v>
      </c>
    </row>
    <row r="18" spans="1:37" x14ac:dyDescent="0.25">
      <c r="D18" s="1" t="str">
        <f>'NRE Calculator'!F44</f>
        <v>Period 6</v>
      </c>
      <c r="E18" s="128" t="str">
        <f>IF('NRE Calculator'!M44="","",'NRE Calculator'!M44)</f>
        <v/>
      </c>
      <c r="F18" s="128" t="str">
        <f>IF('NRE Calculator'!R44="","",'NRE Calculator'!R44)</f>
        <v/>
      </c>
      <c r="G18" s="116" t="str">
        <f t="shared" si="1"/>
        <v/>
      </c>
      <c r="H18" s="116" t="str">
        <f t="shared" si="2"/>
        <v/>
      </c>
      <c r="I18" t="str">
        <f t="shared" si="3"/>
        <v/>
      </c>
      <c r="J18" t="str">
        <f t="shared" si="4"/>
        <v/>
      </c>
      <c r="K18">
        <f t="shared" si="5"/>
        <v>0</v>
      </c>
      <c r="N18" t="str">
        <f t="shared" si="0"/>
        <v>Your stay in Singapore totalled 0 days 
from  to .</v>
      </c>
    </row>
    <row r="19" spans="1:37" x14ac:dyDescent="0.25">
      <c r="D19" s="1" t="str">
        <f>'NRE Calculator'!F45</f>
        <v>Period 7</v>
      </c>
      <c r="E19" s="128" t="str">
        <f>IF('NRE Calculator'!M45="","",'NRE Calculator'!M45)</f>
        <v/>
      </c>
      <c r="F19" s="128" t="str">
        <f>IF('NRE Calculator'!R45="","",'NRE Calculator'!R45)</f>
        <v/>
      </c>
      <c r="G19" s="116" t="str">
        <f t="shared" si="1"/>
        <v/>
      </c>
      <c r="H19" s="116" t="str">
        <f t="shared" si="2"/>
        <v/>
      </c>
      <c r="I19" t="str">
        <f t="shared" si="3"/>
        <v/>
      </c>
      <c r="J19" t="str">
        <f t="shared" si="4"/>
        <v/>
      </c>
      <c r="K19">
        <f t="shared" si="5"/>
        <v>0</v>
      </c>
      <c r="N19" t="str">
        <f t="shared" si="0"/>
        <v>Your stay in Singapore totalled 0 days 
from  to .</v>
      </c>
    </row>
    <row r="20" spans="1:37" x14ac:dyDescent="0.25">
      <c r="D20" s="1" t="str">
        <f>'NRE Calculator'!F46</f>
        <v>Period 8</v>
      </c>
      <c r="E20" s="128" t="str">
        <f>IF('NRE Calculator'!M46="","",'NRE Calculator'!M46)</f>
        <v/>
      </c>
      <c r="F20" s="128" t="str">
        <f>IF('NRE Calculator'!R46="","",'NRE Calculator'!R46)</f>
        <v/>
      </c>
      <c r="G20" s="116" t="str">
        <f t="shared" si="1"/>
        <v/>
      </c>
      <c r="H20" s="116" t="str">
        <f t="shared" si="2"/>
        <v/>
      </c>
      <c r="I20" t="str">
        <f t="shared" si="3"/>
        <v/>
      </c>
      <c r="J20" t="str">
        <f t="shared" si="4"/>
        <v/>
      </c>
      <c r="K20">
        <f t="shared" si="5"/>
        <v>0</v>
      </c>
      <c r="N20" t="str">
        <f t="shared" si="0"/>
        <v>Your stay in Singapore totalled 0 days 
from  to .</v>
      </c>
    </row>
    <row r="21" spans="1:37" x14ac:dyDescent="0.25">
      <c r="D21" s="1" t="str">
        <f>'NRE Calculator'!F47</f>
        <v>Period 9</v>
      </c>
      <c r="E21" s="128" t="str">
        <f>IF('NRE Calculator'!M47="","",'NRE Calculator'!M47)</f>
        <v/>
      </c>
      <c r="F21" s="128" t="str">
        <f>IF('NRE Calculator'!R47="","",'NRE Calculator'!R47)</f>
        <v/>
      </c>
      <c r="G21" s="116" t="str">
        <f t="shared" si="1"/>
        <v/>
      </c>
      <c r="H21" s="116" t="str">
        <f t="shared" si="2"/>
        <v/>
      </c>
      <c r="I21" t="str">
        <f t="shared" si="3"/>
        <v/>
      </c>
      <c r="J21" t="str">
        <f t="shared" si="4"/>
        <v/>
      </c>
      <c r="K21">
        <f t="shared" si="5"/>
        <v>0</v>
      </c>
      <c r="N21" t="str">
        <f t="shared" si="0"/>
        <v>Your stay in Singapore totalled 0 days 
from  to .</v>
      </c>
    </row>
    <row r="22" spans="1:37" x14ac:dyDescent="0.25">
      <c r="D22" s="1" t="str">
        <f>'NRE Calculator'!F48</f>
        <v>Period 10</v>
      </c>
      <c r="E22" s="128" t="str">
        <f>IF('NRE Calculator'!M48="","",'NRE Calculator'!M48)</f>
        <v/>
      </c>
      <c r="F22" s="128" t="str">
        <f>IF('NRE Calculator'!R48="","",'NRE Calculator'!R48)</f>
        <v/>
      </c>
      <c r="G22" s="116" t="str">
        <f t="shared" si="1"/>
        <v/>
      </c>
      <c r="H22" s="116" t="str">
        <f t="shared" si="2"/>
        <v/>
      </c>
      <c r="I22" t="str">
        <f t="shared" si="3"/>
        <v/>
      </c>
      <c r="J22" t="str">
        <f t="shared" si="4"/>
        <v/>
      </c>
      <c r="K22">
        <f t="shared" si="5"/>
        <v>0</v>
      </c>
      <c r="N22" t="str">
        <f t="shared" si="0"/>
        <v>Your stay in Singapore totalled 0 days 
from  to .</v>
      </c>
    </row>
    <row r="23" spans="1:37" x14ac:dyDescent="0.25">
      <c r="D23" s="1" t="str">
        <f>'NRE Calculator'!F49</f>
        <v>Period 11</v>
      </c>
      <c r="E23" s="128" t="str">
        <f>IF('NRE Calculator'!M49="","",'NRE Calculator'!M49)</f>
        <v/>
      </c>
      <c r="F23" s="128" t="str">
        <f>IF('NRE Calculator'!R49="","",'NRE Calculator'!R49)</f>
        <v/>
      </c>
      <c r="G23" s="116" t="str">
        <f>IF(OR(E23="",F23=""),"",IF(AND(YEAR(E23)=$G$12,YEAR(F23)=$G$12),F23-E23+1,$G$7-E23+1))</f>
        <v/>
      </c>
      <c r="H23" s="116" t="str">
        <f>IF(OR(E23="",F23=""),"",IF(AND(YEAR(E23)=$H$12,YEAR(F23)=$H$12),F23-E23+1,F23-$F$8+1))</f>
        <v/>
      </c>
      <c r="I23" t="str">
        <f>IF(G23&lt;=0,0,G23)</f>
        <v/>
      </c>
      <c r="J23" t="str">
        <f>IF(H23&lt;=0,0,H23)</f>
        <v/>
      </c>
      <c r="K23">
        <f>SUM(I23:J23)</f>
        <v>0</v>
      </c>
      <c r="N23" t="str">
        <f t="shared" si="0"/>
        <v>Your stay in Singapore totalled 0 days 
from  to .</v>
      </c>
    </row>
    <row r="24" spans="1:37" x14ac:dyDescent="0.25">
      <c r="D24" s="1" t="str">
        <f>'NRE Calculator'!F50</f>
        <v>Period 12</v>
      </c>
      <c r="E24" s="128" t="str">
        <f>IF('NRE Calculator'!M50="","",'NRE Calculator'!M50)</f>
        <v/>
      </c>
      <c r="F24" s="128" t="str">
        <f>IF('NRE Calculator'!R50="","",'NRE Calculator'!R50)</f>
        <v/>
      </c>
      <c r="G24" s="116" t="str">
        <f>IF(OR(E24="",F24=""),"",IF(AND(YEAR(E24)=$G$12,YEAR(F24)=$G$12),F24-E24+1,$G$7-E24+1))</f>
        <v/>
      </c>
      <c r="H24" s="116" t="str">
        <f>IF(OR(E24="",F24=""),"",IF(AND(YEAR(E24)=$H$12,YEAR(F24)=$H$12),F24-E24+1,F24-$F$8+1))</f>
        <v/>
      </c>
      <c r="I24" t="str">
        <f>IF(G24&lt;=0,0,G24)</f>
        <v/>
      </c>
      <c r="J24" t="str">
        <f>IF(H24&lt;=0,0,H24)</f>
        <v/>
      </c>
      <c r="K24">
        <f>SUM(I24:J24)</f>
        <v>0</v>
      </c>
      <c r="N24" t="str">
        <f t="shared" si="0"/>
        <v>Your stay in Singapore totalled 0 days 
from  to .</v>
      </c>
    </row>
    <row r="25" spans="1:37" ht="15.75" thickBot="1" x14ac:dyDescent="0.3">
      <c r="D25" s="131" t="s">
        <v>401</v>
      </c>
      <c r="E25">
        <f>YEAR(MIN(E13:F24))</f>
        <v>1900</v>
      </c>
      <c r="F25">
        <f>YEAR(MAX(E13:F24))</f>
        <v>1900</v>
      </c>
      <c r="H25" s="131" t="s">
        <v>402</v>
      </c>
      <c r="I25" s="132">
        <f>SUM(I13:I24)</f>
        <v>0</v>
      </c>
      <c r="J25" s="132">
        <f>SUM(J13:J24)</f>
        <v>0</v>
      </c>
      <c r="K25" s="129"/>
      <c r="L25" s="129"/>
    </row>
    <row r="26" spans="1:37" ht="15.75" thickTop="1" x14ac:dyDescent="0.25">
      <c r="G26" s="131" t="s">
        <v>403</v>
      </c>
      <c r="H26" s="131" t="s">
        <v>404</v>
      </c>
      <c r="I26" t="e">
        <f ca="1">IF(AND(E2="Luxembourg",I56="Partial"),VLOOKUP("Yes",$G$56:$J$57,4,FALSE),IF(AND(I25&gt;0,I25&lt;=183,J25&gt;0,J25&lt;=183,I29="both"),"both",IF(AND(I25&gt;0,I25&lt;=183,I30&lt;&gt;I12),I12,IF(AND(J25&gt;0,J25&lt;=183,I30&lt;&gt;J12),J12,""))))</f>
        <v>#N/A</v>
      </c>
    </row>
    <row r="27" spans="1:37" x14ac:dyDescent="0.25">
      <c r="G27" s="131" t="s">
        <v>405</v>
      </c>
      <c r="H27" s="131" t="s">
        <v>406</v>
      </c>
      <c r="I27" t="e">
        <f ca="1">IF(AND(E2="Luxembourg",OR(H56="YesNo",H56="NoYes")),VLOOKUP("No",$G$56:$J$57,4,FALSE),IF(AND(I26=I12,J25&gt;0),J12,IF(AND(I26=J12,I25&gt;0),I12,"")))</f>
        <v>#N/A</v>
      </c>
    </row>
    <row r="29" spans="1:37" x14ac:dyDescent="0.25">
      <c r="G29" s="131" t="s">
        <v>407</v>
      </c>
      <c r="H29" s="131" t="s">
        <v>404</v>
      </c>
      <c r="I29" t="e">
        <f>IF(calcNresults!N6="","both",IF(VALUE(calcNresults!N6)&lt;=days!E25,"both",IF(VALUE(calcNresults!N6)=F25,F25,IF(VALUE(calcNresults!N6)&gt;days!F25,"None","?"))))</f>
        <v>#N/A</v>
      </c>
    </row>
    <row r="30" spans="1:37" x14ac:dyDescent="0.25">
      <c r="G30" s="131" t="s">
        <v>407</v>
      </c>
      <c r="H30" s="131" t="s">
        <v>406</v>
      </c>
      <c r="I30" t="e">
        <f>IF(AND(I29=F25,F25&lt;&gt;E25),E25,"None")</f>
        <v>#N/A</v>
      </c>
      <c r="Q30" s="129" t="str">
        <f>I31</f>
        <v>Within 12 mths from Date From</v>
      </c>
      <c r="AE30" s="129" t="s">
        <v>408</v>
      </c>
      <c r="AJ30" s="129" t="s">
        <v>409</v>
      </c>
    </row>
    <row r="31" spans="1:37" ht="135" x14ac:dyDescent="0.25">
      <c r="A31" s="178" t="s">
        <v>410</v>
      </c>
      <c r="B31" s="178" t="s">
        <v>411</v>
      </c>
      <c r="C31" s="129" t="s">
        <v>412</v>
      </c>
      <c r="D31" s="130" t="s">
        <v>413</v>
      </c>
      <c r="E31" s="133" t="str">
        <f>'NRE Calculator'!M38</f>
        <v>Date From</v>
      </c>
      <c r="F31" s="133" t="str">
        <f>'NRE Calculator'!R38</f>
        <v>Date To</v>
      </c>
      <c r="G31" s="135" t="str">
        <f>CONCATENATE(E31," + 12 mths")</f>
        <v>Date From + 12 mths</v>
      </c>
      <c r="H31" s="135" t="str">
        <f>CONCATENATE(F31," - 12 mths")</f>
        <v>Date To - 12 mths</v>
      </c>
      <c r="I31" s="135" t="str">
        <f>CONCATENATE("Within 12 mths from ",E31)</f>
        <v>Within 12 mths from Date From</v>
      </c>
      <c r="J31" s="135" t="str">
        <f>CONCATENATE("Within 12 mths before ",F31)</f>
        <v>Within 12 mths before Date To</v>
      </c>
      <c r="K31" s="135" t="s">
        <v>414</v>
      </c>
      <c r="L31" s="135" t="s">
        <v>415</v>
      </c>
      <c r="M31" s="135" t="s">
        <v>416</v>
      </c>
      <c r="N31" s="135" t="s">
        <v>400</v>
      </c>
      <c r="Q31" t="str">
        <f>D32</f>
        <v>Period 1</v>
      </c>
      <c r="R31" t="str">
        <f>D33</f>
        <v>Period 2</v>
      </c>
      <c r="S31" t="str">
        <f>D34</f>
        <v>Period 3</v>
      </c>
      <c r="T31" t="str">
        <f>D35</f>
        <v>Period 4</v>
      </c>
      <c r="U31" t="str">
        <f>D36</f>
        <v>Period 5</v>
      </c>
      <c r="V31" t="str">
        <f>D37</f>
        <v>Period 6</v>
      </c>
      <c r="W31" t="str">
        <f>D38</f>
        <v>Period 7</v>
      </c>
      <c r="X31" t="str">
        <f>D39</f>
        <v>Period 8</v>
      </c>
      <c r="Y31" t="str">
        <f>D40</f>
        <v>Period 9</v>
      </c>
      <c r="Z31" t="str">
        <f>D41</f>
        <v>Period 10</v>
      </c>
      <c r="AA31" t="str">
        <f>D42</f>
        <v>Period 11</v>
      </c>
      <c r="AB31" t="str">
        <f>D43</f>
        <v>Period 12</v>
      </c>
      <c r="AE31" s="178" t="s">
        <v>417</v>
      </c>
      <c r="AF31" s="178" t="s">
        <v>418</v>
      </c>
      <c r="AG31" s="180" t="s">
        <v>419</v>
      </c>
      <c r="AJ31" s="178" t="s">
        <v>420</v>
      </c>
      <c r="AK31" s="180" t="s">
        <v>421</v>
      </c>
    </row>
    <row r="32" spans="1:37" x14ac:dyDescent="0.25">
      <c r="A32" t="str">
        <f>IF(COUNTIF($E$32,"")&lt;&gt;COUNTIF($F$32,""),"err","ok")</f>
        <v>ok</v>
      </c>
      <c r="B32" t="str">
        <f>IF(COUNTIF($E$32,"")&lt;&gt;COUNTIF($F$32,""),"err","ok")</f>
        <v>ok</v>
      </c>
      <c r="C32" t="str">
        <f t="shared" ref="C32:C43" si="6">IF(OR(E32="",F32=""),"",RANK(F32,$F$32:$F$43,0))</f>
        <v/>
      </c>
      <c r="D32" t="str">
        <f>'NRE Calculator'!F39</f>
        <v>Period 1</v>
      </c>
      <c r="E32" s="128" t="str">
        <f t="shared" ref="E32:F43" si="7">E13</f>
        <v/>
      </c>
      <c r="F32" s="128" t="str">
        <f t="shared" si="7"/>
        <v/>
      </c>
      <c r="G32" s="127" t="str">
        <f>IF(OR(E32="",F32=""),"",DATE(YEAR(E32)+1,MONTH(E32),DAY(E32)-1))</f>
        <v/>
      </c>
      <c r="H32" s="127" t="str">
        <f>IF(OR(E32="",F32=""),"",DATE(YEAR(F32)-1,MONTH(F32),DAY(F32)+1))</f>
        <v/>
      </c>
      <c r="I32">
        <f>Q44</f>
        <v>0</v>
      </c>
      <c r="J32">
        <f>Q61</f>
        <v>0</v>
      </c>
      <c r="K32" s="128" t="str">
        <f t="shared" ref="K32:K37" si="8">IF(OR(E32="",F32=""),"",IF(I32&gt;J32,AG32,AG49))</f>
        <v/>
      </c>
      <c r="L32" s="128" t="str">
        <f t="shared" ref="L32:L37" si="9">IF(OR(E32="",F32=""),"",IF(I32&gt;J32,AK32,AK49))</f>
        <v/>
      </c>
      <c r="M32" t="str">
        <f>IF(OR(E32="",F32=""),"",MAX(I32:J32))</f>
        <v/>
      </c>
      <c r="N32" t="str">
        <f t="shared" ref="N32:N43" si="10">CONCATENATE($D$48,M32,IF(M32=1," day "," days "),$E$48,TEXT(K32,"DD-MMM-YYYY"),$F$48,TEXT(L32,"DD-MMM-YYYY"),$G$48)</f>
        <v>Your stay in Singapore totalled  days 
from  to .</v>
      </c>
      <c r="Q32" s="176" t="str">
        <f t="shared" ref="Q32:Q43" si="11">IF(OR(E32="",F32="",$B$44&gt;0),"",IF(IF(F32&lt;=$G$32,F32-E32+1,$G$32-E32+1)&lt;0,0,IF(F32&lt;=$G$32,F32-E32+1,$G$32-E32+1)))</f>
        <v/>
      </c>
      <c r="R32" t="str">
        <f>IF(OR($E$33="",$F$33="",$B$44&gt;0),"",IF(VLOOKUP(1,$C$32:$H$43,6,FALSE)&lt;=$F32,$F32-MAX(VLOOKUP(1,$C$32:$H$43,6,FALSE),$E32)+1,0))</f>
        <v/>
      </c>
      <c r="S32" t="str">
        <f>IF(OR($E$34="",$F$34="",$B$44&gt;0),"",IF(VLOOKUP(1,$C$32:$H$43,6,FALSE)&lt;=$F32,$F32-MAX(VLOOKUP(1,$C$32:$H$43,6,FALSE),$E32)+1,0))</f>
        <v/>
      </c>
      <c r="T32" t="str">
        <f>IF(OR($E$35="",$F$35="",$B$44&gt;0),"",IF(VLOOKUP(1,$C$32:$H$43,6,FALSE)&lt;=$F32,$F32-MAX(VLOOKUP(1,$C$32:$H$43,6,FALSE),$E32)+1,0))</f>
        <v/>
      </c>
      <c r="U32" t="str">
        <f>IF(OR($E$36="",$F$36="",$B$44&gt;0),"",IF(VLOOKUP(1,$C$32:$H$43,6,FALSE)&lt;=$F32,$F32-MAX(VLOOKUP(1,$C$32:$H$43,6,FALSE),$E32)+1,0))</f>
        <v/>
      </c>
      <c r="V32" t="str">
        <f>IF(OR($E$37="",$F$37="",$B$44&gt;0),"",IF(VLOOKUP(1,$C$32:$H$43,6,FALSE)&lt;=$F32,$F32-MAX(VLOOKUP(1,$C$32:$H$43,6,FALSE),$E32)+1,0))</f>
        <v/>
      </c>
      <c r="W32" t="str">
        <f t="shared" ref="W32:W37" si="12">IF(OR($E$38="",$F$38="",$B$44&gt;0),"",IF(VLOOKUP(1,$C$32:$H$43,6,FALSE)&lt;=$F32,$F32-MAX(VLOOKUP(1,$C$32:$H$43,6,FALSE),$E32)+1,0))</f>
        <v/>
      </c>
      <c r="X32" t="str">
        <f t="shared" ref="X32:X38" si="13">IF(OR($E$39="",$F$39="",$B$44&gt;0),"",IF(VLOOKUP(1,$C$32:$H$43,6,FALSE)&lt;=$F32,$F32-MAX(VLOOKUP(1,$C$32:$H$43,6,FALSE),$E32)+1,0))</f>
        <v/>
      </c>
      <c r="Y32" t="str">
        <f t="shared" ref="Y32:Y39" si="14">IF(OR($E$40="",$F$40="",$B$44&gt;0),"",IF(VLOOKUP(1,$C$32:$H$43,6,FALSE)&lt;=$F32,$F32-MAX(VLOOKUP(1,$C$32:$H$43,6,FALSE),$E32)+1,0))</f>
        <v/>
      </c>
      <c r="Z32" t="str">
        <f t="shared" ref="Z32:Z40" si="15">IF(OR($E$41="",$F$41="",$B$44&gt;0),"",IF(VLOOKUP(1,$C$32:$H$43,6,FALSE)&lt;=$F32,$F32-MAX(VLOOKUP(1,$C$32:$H$43,6,FALSE),$E32)+1,0))</f>
        <v/>
      </c>
      <c r="AA32" t="str">
        <f t="shared" ref="AA32:AA41" si="16">IF(OR($E$42="",$F$42="",$B$44&gt;0),"",IF(VLOOKUP(1,$C$32:$H$43,6,FALSE)&lt;=$F32,$F32-MAX(VLOOKUP(1,$C$32:$H$43,6,FALSE),$E32)+1,0))</f>
        <v/>
      </c>
      <c r="AB32" t="str">
        <f t="shared" ref="AB32:AB42" si="17">IF(OR($E$43="",$F$43="",$B$44&gt;0),"",IF(VLOOKUP(1,$C$32:$H$43,6,FALSE)&lt;=$F32,$F32-MAX(VLOOKUP(1,$C$32:$H$43,6,FALSE),$E32)+1,0))</f>
        <v/>
      </c>
      <c r="AD32" t="str">
        <f t="shared" ref="AD32:AD43" si="18">$D32</f>
        <v>Period 1</v>
      </c>
      <c r="AE32" s="127" t="e">
        <f t="shared" ref="AE32:AE43" si="19">MIN(G32,VLOOKUP(1,$C$32:$H$43,4,FALSE))</f>
        <v>#N/A</v>
      </c>
      <c r="AF32" s="127" t="e">
        <f>IF(AE32="","",DATE(YEAR(AE32)-1,MONTH(AE32),DAY(AE32)+1))</f>
        <v>#N/A</v>
      </c>
      <c r="AG32" s="179" t="e">
        <f t="shared" ref="AG32:AG43" si="20">MAX(AF32,$E$32)</f>
        <v>#N/A</v>
      </c>
      <c r="AI32" t="str">
        <f t="shared" ref="AI32:AI43" si="21">$D32</f>
        <v>Period 1</v>
      </c>
      <c r="AJ32" s="127" t="e">
        <f>IF(AE32="","",DATE(YEAR(AG32)+1,MONTH(AG32),DAY(AG32)-1))</f>
        <v>#N/A</v>
      </c>
      <c r="AK32" s="179" t="e">
        <f t="shared" ref="AK32:AK43" si="22">MIN(AJ32,VLOOKUP(1,$C$32:$H$43,4,FALSE))</f>
        <v>#N/A</v>
      </c>
    </row>
    <row r="33" spans="1:37" x14ac:dyDescent="0.25">
      <c r="A33" t="str">
        <f>IF(COUNTIF($E33,"")&lt;&gt;COUNTIF($F33,""),"err",IF(AND(COUNTIF($E33:$F33,"")&lt;&gt;2,COUNTIF(E$32:E32,"")&gt;0),"err","ok"))</f>
        <v>ok</v>
      </c>
      <c r="B33" t="str">
        <f>IF(COUNTIF($E33,"")&lt;&gt;COUNTIF($F33,""),"err",IF(AND(COUNTIF($E33:$F33,"")&lt;&gt;2,COUNTIF(F$32:F32,"")&gt;0),"err","ok"))</f>
        <v>ok</v>
      </c>
      <c r="C33" t="str">
        <f t="shared" si="6"/>
        <v/>
      </c>
      <c r="D33" t="str">
        <f>'NRE Calculator'!F40</f>
        <v>Period 2</v>
      </c>
      <c r="E33" s="128" t="str">
        <f t="shared" si="7"/>
        <v/>
      </c>
      <c r="F33" s="128" t="str">
        <f t="shared" si="7"/>
        <v/>
      </c>
      <c r="G33" s="127" t="str">
        <f t="shared" ref="G33:G41" si="23">IF(OR(E33="",F33=""),"",DATE(YEAR(E33)+1,MONTH(E33),DAY(E33)-1))</f>
        <v/>
      </c>
      <c r="H33" s="127" t="str">
        <f t="shared" ref="H33:H41" si="24">IF(OR(E33="",F33=""),"",DATE(YEAR(F33)-1,MONTH(F33),DAY(F33)+1))</f>
        <v/>
      </c>
      <c r="I33">
        <f>R44</f>
        <v>0</v>
      </c>
      <c r="J33">
        <f>R61</f>
        <v>0</v>
      </c>
      <c r="K33" s="128" t="str">
        <f t="shared" si="8"/>
        <v/>
      </c>
      <c r="L33" s="128" t="str">
        <f t="shared" si="9"/>
        <v/>
      </c>
      <c r="M33" t="str">
        <f t="shared" ref="M33:M43" si="25">IF(OR(E33="",F33=""),"",MAX(I33:J33))</f>
        <v/>
      </c>
      <c r="N33" t="str">
        <f t="shared" si="10"/>
        <v>Your stay in Singapore totalled  days 
from  to .</v>
      </c>
      <c r="Q33" s="176" t="str">
        <f t="shared" si="11"/>
        <v/>
      </c>
      <c r="R33" s="176" t="str">
        <f t="shared" ref="R33:R43" si="26">IF(OR(E33="",F33="",$B$44&gt;0),"",IF(IF(F33&lt;=$G$33,F33-E33+1,$G$33-E33+1)&lt;0,0,IF(F33&lt;=$G$33,F33-E33+1,$G$33-E33+1)))</f>
        <v/>
      </c>
      <c r="S33" t="str">
        <f>IF(OR($E$34="",$F$34="",$B$44&gt;0),"",IF(VLOOKUP(1,$C$32:$H$43,6,FALSE)&lt;=$F33,$F33-MAX(VLOOKUP(1,$C$32:$H$43,6,FALSE),$E33)+1,0))</f>
        <v/>
      </c>
      <c r="T33" t="str">
        <f>IF(OR($E$35="",$F$35="",$B$44&gt;0),"",IF(VLOOKUP(1,$C$32:$H$43,6,FALSE)&lt;=$F33,$F33-MAX(VLOOKUP(1,$C$32:$H$43,6,FALSE),$E33)+1,0))</f>
        <v/>
      </c>
      <c r="U33" t="str">
        <f>IF(OR($E$36="",$F$36="",$B$44&gt;0),"",IF(VLOOKUP(1,$C$32:$H$43,6,FALSE)&lt;=$F33,$F33-MAX(VLOOKUP(1,$C$32:$H$43,6,FALSE),$E33)+1,0))</f>
        <v/>
      </c>
      <c r="V33" t="str">
        <f>IF(OR($E$37="",$F$37="",$B$44&gt;0),"",IF(VLOOKUP(1,$C$32:$H$43,6,FALSE)&lt;=$F33,$F33-MAX(VLOOKUP(1,$C$32:$H$43,6,FALSE),$E33)+1,0))</f>
        <v/>
      </c>
      <c r="W33" t="str">
        <f t="shared" si="12"/>
        <v/>
      </c>
      <c r="X33" t="str">
        <f t="shared" si="13"/>
        <v/>
      </c>
      <c r="Y33" t="str">
        <f t="shared" si="14"/>
        <v/>
      </c>
      <c r="Z33" t="str">
        <f t="shared" si="15"/>
        <v/>
      </c>
      <c r="AA33" t="str">
        <f t="shared" si="16"/>
        <v/>
      </c>
      <c r="AB33" t="str">
        <f t="shared" si="17"/>
        <v/>
      </c>
      <c r="AD33" t="str">
        <f t="shared" si="18"/>
        <v>Period 2</v>
      </c>
      <c r="AE33" s="127" t="e">
        <f t="shared" si="19"/>
        <v>#N/A</v>
      </c>
      <c r="AF33" s="127" t="e">
        <f t="shared" ref="AF33:AF41" si="27">IF(AE33="","",DATE(YEAR(AE33)-1,MONTH(AE33),DAY(AE33)+1))</f>
        <v>#N/A</v>
      </c>
      <c r="AG33" s="179" t="e">
        <f t="shared" si="20"/>
        <v>#N/A</v>
      </c>
      <c r="AI33" t="str">
        <f t="shared" si="21"/>
        <v>Period 2</v>
      </c>
      <c r="AJ33" s="127" t="e">
        <f t="shared" ref="AJ33:AJ41" si="28">IF(AE33="","",DATE(YEAR(AG33)+1,MONTH(AG33),DAY(AG33)-1))</f>
        <v>#N/A</v>
      </c>
      <c r="AK33" s="179" t="e">
        <f t="shared" si="22"/>
        <v>#N/A</v>
      </c>
    </row>
    <row r="34" spans="1:37" x14ac:dyDescent="0.25">
      <c r="A34" t="str">
        <f>IF(COUNTIF($E34,"")&lt;&gt;COUNTIF($F34,""),"err",IF(AND(COUNTIF($E34:$F34,"")&lt;&gt;2,COUNTIF(E$32:E33,"")&gt;0),"err","ok"))</f>
        <v>ok</v>
      </c>
      <c r="B34" t="str">
        <f>IF(COUNTIF($E34,"")&lt;&gt;COUNTIF($F34,""),"err",IF(AND(COUNTIF($E34:$F34,"")&lt;&gt;2,COUNTIF(F$32:F33,"")&gt;0),"err","ok"))</f>
        <v>ok</v>
      </c>
      <c r="C34" t="str">
        <f t="shared" si="6"/>
        <v/>
      </c>
      <c r="D34" t="str">
        <f>'NRE Calculator'!F41</f>
        <v>Period 3</v>
      </c>
      <c r="E34" s="128" t="str">
        <f t="shared" si="7"/>
        <v/>
      </c>
      <c r="F34" s="128" t="str">
        <f t="shared" si="7"/>
        <v/>
      </c>
      <c r="G34" s="127" t="str">
        <f t="shared" si="23"/>
        <v/>
      </c>
      <c r="H34" s="127" t="str">
        <f t="shared" si="24"/>
        <v/>
      </c>
      <c r="I34">
        <f>S44</f>
        <v>0</v>
      </c>
      <c r="J34">
        <f>S61</f>
        <v>0</v>
      </c>
      <c r="K34" s="128" t="str">
        <f t="shared" si="8"/>
        <v/>
      </c>
      <c r="L34" s="128" t="str">
        <f t="shared" si="9"/>
        <v/>
      </c>
      <c r="M34" t="str">
        <f t="shared" si="25"/>
        <v/>
      </c>
      <c r="N34" t="str">
        <f t="shared" si="10"/>
        <v>Your stay in Singapore totalled  days 
from  to .</v>
      </c>
      <c r="Q34" s="176" t="str">
        <f t="shared" si="11"/>
        <v/>
      </c>
      <c r="R34" s="176" t="str">
        <f t="shared" si="26"/>
        <v/>
      </c>
      <c r="S34" s="176" t="str">
        <f t="shared" ref="S34:S43" si="29">IF(OR(E34="",F34="",$B$44&gt;0),"",IF(IF(F34&lt;=$G$34,F34-E34+1,$G$34-E34+1)&lt;0,0,IF(F34&lt;=$G$34,F34-E34+1,$G$34-E34+1)))</f>
        <v/>
      </c>
      <c r="T34" t="str">
        <f>IF(OR($E$35="",$F$35="",$B$44&gt;0),"",IF(VLOOKUP(1,$C$32:$H$43,6,FALSE)&lt;=$F34,$F34-MAX(VLOOKUP(1,$C$32:$H$43,6,FALSE),$E34)+1,0))</f>
        <v/>
      </c>
      <c r="U34" t="str">
        <f>IF(OR($E$36="",$F$36="",$B$44&gt;0),"",IF(VLOOKUP(1,$C$32:$H$43,6,FALSE)&lt;=$F34,$F34-MAX(VLOOKUP(1,$C$32:$H$43,6,FALSE),$E34)+1,0))</f>
        <v/>
      </c>
      <c r="V34" t="str">
        <f>IF(OR($E$37="",$F$37="",$B$44&gt;0),"",IF(VLOOKUP(1,$C$32:$H$43,6,FALSE)&lt;=$F34,$F34-MAX(VLOOKUP(1,$C$32:$H$43,6,FALSE),$E34)+1,0))</f>
        <v/>
      </c>
      <c r="W34" t="str">
        <f t="shared" si="12"/>
        <v/>
      </c>
      <c r="X34" t="str">
        <f t="shared" si="13"/>
        <v/>
      </c>
      <c r="Y34" t="str">
        <f t="shared" si="14"/>
        <v/>
      </c>
      <c r="Z34" t="str">
        <f t="shared" si="15"/>
        <v/>
      </c>
      <c r="AA34" t="str">
        <f t="shared" si="16"/>
        <v/>
      </c>
      <c r="AB34" t="str">
        <f t="shared" si="17"/>
        <v/>
      </c>
      <c r="AD34" t="str">
        <f t="shared" si="18"/>
        <v>Period 3</v>
      </c>
      <c r="AE34" s="127" t="e">
        <f t="shared" si="19"/>
        <v>#N/A</v>
      </c>
      <c r="AF34" s="127" t="e">
        <f t="shared" si="27"/>
        <v>#N/A</v>
      </c>
      <c r="AG34" s="179" t="e">
        <f t="shared" si="20"/>
        <v>#N/A</v>
      </c>
      <c r="AI34" t="str">
        <f t="shared" si="21"/>
        <v>Period 3</v>
      </c>
      <c r="AJ34" s="127" t="e">
        <f t="shared" si="28"/>
        <v>#N/A</v>
      </c>
      <c r="AK34" s="179" t="e">
        <f t="shared" si="22"/>
        <v>#N/A</v>
      </c>
    </row>
    <row r="35" spans="1:37" x14ac:dyDescent="0.25">
      <c r="A35" t="str">
        <f>IF(COUNTIF($E35,"")&lt;&gt;COUNTIF($F35,""),"err",IF(AND(COUNTIF($E35:$F35,"")&lt;&gt;2,COUNTIF(E$32:E34,"")&gt;0),"err","ok"))</f>
        <v>ok</v>
      </c>
      <c r="B35" t="str">
        <f>IF(COUNTIF($E35,"")&lt;&gt;COUNTIF($F35,""),"err",IF(AND(COUNTIF($E35:$F35,"")&lt;&gt;2,COUNTIF(F$32:F34,"")&gt;0),"err","ok"))</f>
        <v>ok</v>
      </c>
      <c r="C35" t="str">
        <f t="shared" si="6"/>
        <v/>
      </c>
      <c r="D35" t="str">
        <f>'NRE Calculator'!F42</f>
        <v>Period 4</v>
      </c>
      <c r="E35" s="128" t="str">
        <f t="shared" si="7"/>
        <v/>
      </c>
      <c r="F35" s="128" t="str">
        <f t="shared" si="7"/>
        <v/>
      </c>
      <c r="G35" s="127" t="str">
        <f t="shared" si="23"/>
        <v/>
      </c>
      <c r="H35" s="127" t="str">
        <f t="shared" si="24"/>
        <v/>
      </c>
      <c r="I35">
        <f>T44</f>
        <v>0</v>
      </c>
      <c r="J35">
        <f>T61</f>
        <v>0</v>
      </c>
      <c r="K35" s="128" t="str">
        <f t="shared" si="8"/>
        <v/>
      </c>
      <c r="L35" s="128" t="str">
        <f t="shared" si="9"/>
        <v/>
      </c>
      <c r="M35" t="str">
        <f t="shared" si="25"/>
        <v/>
      </c>
      <c r="N35" t="str">
        <f t="shared" si="10"/>
        <v>Your stay in Singapore totalled  days 
from  to .</v>
      </c>
      <c r="Q35" s="176" t="str">
        <f t="shared" si="11"/>
        <v/>
      </c>
      <c r="R35" s="176" t="str">
        <f t="shared" si="26"/>
        <v/>
      </c>
      <c r="S35" s="176" t="str">
        <f t="shared" si="29"/>
        <v/>
      </c>
      <c r="T35" s="176" t="str">
        <f t="shared" ref="T35:T43" si="30">IF(OR(E35="",F35="",$B$44&gt;0),"",IF(IF(F35&lt;=$G$35,F35-E35+1,$G$35-E35+1)&lt;0,0,IF(F35&lt;=$G$35,F35-E35+1,$G$35-E35+1)))</f>
        <v/>
      </c>
      <c r="U35" t="str">
        <f>IF(OR($E$36="",$F$36="",$B$44&gt;0),"",IF(VLOOKUP(1,$C$32:$H$43,6,FALSE)&lt;=$F35,$F35-MAX(VLOOKUP(1,$C$32:$H$43,6,FALSE),$E35)+1,0))</f>
        <v/>
      </c>
      <c r="V35" t="str">
        <f>IF(OR($E$37="",$F$37="",$B$44&gt;0),"",IF(VLOOKUP(1,$C$32:$H$43,6,FALSE)&lt;=$F35,$F35-MAX(VLOOKUP(1,$C$32:$H$43,6,FALSE),$E35)+1,0))</f>
        <v/>
      </c>
      <c r="W35" t="str">
        <f t="shared" si="12"/>
        <v/>
      </c>
      <c r="X35" t="str">
        <f t="shared" si="13"/>
        <v/>
      </c>
      <c r="Y35" t="str">
        <f t="shared" si="14"/>
        <v/>
      </c>
      <c r="Z35" t="str">
        <f t="shared" si="15"/>
        <v/>
      </c>
      <c r="AA35" t="str">
        <f t="shared" si="16"/>
        <v/>
      </c>
      <c r="AB35" t="str">
        <f t="shared" si="17"/>
        <v/>
      </c>
      <c r="AD35" t="str">
        <f t="shared" si="18"/>
        <v>Period 4</v>
      </c>
      <c r="AE35" s="127" t="e">
        <f t="shared" si="19"/>
        <v>#N/A</v>
      </c>
      <c r="AF35" s="127" t="e">
        <f t="shared" si="27"/>
        <v>#N/A</v>
      </c>
      <c r="AG35" s="179" t="e">
        <f t="shared" si="20"/>
        <v>#N/A</v>
      </c>
      <c r="AI35" t="str">
        <f t="shared" si="21"/>
        <v>Period 4</v>
      </c>
      <c r="AJ35" s="127" t="e">
        <f t="shared" si="28"/>
        <v>#N/A</v>
      </c>
      <c r="AK35" s="179" t="e">
        <f t="shared" si="22"/>
        <v>#N/A</v>
      </c>
    </row>
    <row r="36" spans="1:37" x14ac:dyDescent="0.25">
      <c r="A36" t="str">
        <f>IF(COUNTIF($E36,"")&lt;&gt;COUNTIF($F36,""),"err",IF(AND(COUNTIF($E36:$F36,"")&lt;&gt;2,COUNTIF(E$32:E35,"")&gt;0),"err","ok"))</f>
        <v>ok</v>
      </c>
      <c r="B36" t="str">
        <f>IF(COUNTIF($E36,"")&lt;&gt;COUNTIF($F36,""),"err",IF(AND(COUNTIF($E36:$F36,"")&lt;&gt;2,COUNTIF(F$32:F35,"")&gt;0),"err","ok"))</f>
        <v>ok</v>
      </c>
      <c r="C36" t="str">
        <f t="shared" si="6"/>
        <v/>
      </c>
      <c r="D36" t="str">
        <f>'NRE Calculator'!F43</f>
        <v>Period 5</v>
      </c>
      <c r="E36" s="128" t="str">
        <f t="shared" si="7"/>
        <v/>
      </c>
      <c r="F36" s="128" t="str">
        <f t="shared" si="7"/>
        <v/>
      </c>
      <c r="G36" s="127" t="str">
        <f t="shared" si="23"/>
        <v/>
      </c>
      <c r="H36" s="127" t="str">
        <f t="shared" si="24"/>
        <v/>
      </c>
      <c r="I36">
        <f>U44</f>
        <v>0</v>
      </c>
      <c r="J36">
        <f>U61</f>
        <v>0</v>
      </c>
      <c r="K36" s="128" t="str">
        <f t="shared" si="8"/>
        <v/>
      </c>
      <c r="L36" s="128" t="str">
        <f t="shared" si="9"/>
        <v/>
      </c>
      <c r="M36" t="str">
        <f t="shared" si="25"/>
        <v/>
      </c>
      <c r="N36" t="str">
        <f t="shared" si="10"/>
        <v>Your stay in Singapore totalled  days 
from  to .</v>
      </c>
      <c r="Q36" s="176" t="str">
        <f t="shared" si="11"/>
        <v/>
      </c>
      <c r="R36" s="176" t="str">
        <f t="shared" si="26"/>
        <v/>
      </c>
      <c r="S36" s="176" t="str">
        <f t="shared" si="29"/>
        <v/>
      </c>
      <c r="T36" s="176" t="str">
        <f t="shared" si="30"/>
        <v/>
      </c>
      <c r="U36" s="176" t="str">
        <f t="shared" ref="U36:U43" si="31">IF(OR(E36="",F36="",$B$44&gt;0),"",IF(IF(F36&lt;=$G$36,F36-E36+1,$G$36-E36+1)&lt;0,0,IF(F36&lt;=$G$36,F36-E36+1,$G$36-E36+1)))</f>
        <v/>
      </c>
      <c r="V36" t="str">
        <f>IF(OR($E$37="",$F$37="",$B$44&gt;0),"",IF(VLOOKUP(1,$C$32:$H$43,6,FALSE)&lt;=$F36,$F36-MAX(VLOOKUP(1,$C$32:$H$43,6,FALSE),$E36)+1,0))</f>
        <v/>
      </c>
      <c r="W36" t="str">
        <f t="shared" si="12"/>
        <v/>
      </c>
      <c r="X36" t="str">
        <f t="shared" si="13"/>
        <v/>
      </c>
      <c r="Y36" t="str">
        <f t="shared" si="14"/>
        <v/>
      </c>
      <c r="Z36" t="str">
        <f t="shared" si="15"/>
        <v/>
      </c>
      <c r="AA36" t="str">
        <f t="shared" si="16"/>
        <v/>
      </c>
      <c r="AB36" t="str">
        <f t="shared" si="17"/>
        <v/>
      </c>
      <c r="AD36" t="str">
        <f t="shared" si="18"/>
        <v>Period 5</v>
      </c>
      <c r="AE36" s="127" t="e">
        <f t="shared" si="19"/>
        <v>#N/A</v>
      </c>
      <c r="AF36" s="127" t="e">
        <f t="shared" si="27"/>
        <v>#N/A</v>
      </c>
      <c r="AG36" s="179" t="e">
        <f t="shared" si="20"/>
        <v>#N/A</v>
      </c>
      <c r="AI36" t="str">
        <f t="shared" si="21"/>
        <v>Period 5</v>
      </c>
      <c r="AJ36" s="127" t="e">
        <f t="shared" si="28"/>
        <v>#N/A</v>
      </c>
      <c r="AK36" s="179" t="e">
        <f t="shared" si="22"/>
        <v>#N/A</v>
      </c>
    </row>
    <row r="37" spans="1:37" x14ac:dyDescent="0.25">
      <c r="A37" t="str">
        <f>IF(COUNTIF($E37,"")&lt;&gt;COUNTIF($F37,""),"err",IF(AND(COUNTIF($E37:$F37,"")&lt;&gt;2,COUNTIF(E$32:E36,"")&gt;0),"err","ok"))</f>
        <v>ok</v>
      </c>
      <c r="B37" t="str">
        <f>IF(COUNTIF($E37,"")&lt;&gt;COUNTIF($F37,""),"err",IF(AND(COUNTIF($E37:$F37,"")&lt;&gt;2,COUNTIF(F$32:F36,"")&gt;0),"err","ok"))</f>
        <v>ok</v>
      </c>
      <c r="C37" t="str">
        <f t="shared" si="6"/>
        <v/>
      </c>
      <c r="D37" t="str">
        <f>'NRE Calculator'!F44</f>
        <v>Period 6</v>
      </c>
      <c r="E37" s="128" t="str">
        <f t="shared" si="7"/>
        <v/>
      </c>
      <c r="F37" s="128" t="str">
        <f t="shared" si="7"/>
        <v/>
      </c>
      <c r="G37" s="127" t="str">
        <f t="shared" si="23"/>
        <v/>
      </c>
      <c r="H37" s="127" t="str">
        <f t="shared" si="24"/>
        <v/>
      </c>
      <c r="I37">
        <f>V44</f>
        <v>0</v>
      </c>
      <c r="J37">
        <f>V61</f>
        <v>0</v>
      </c>
      <c r="K37" s="128" t="str">
        <f t="shared" si="8"/>
        <v/>
      </c>
      <c r="L37" s="128" t="str">
        <f t="shared" si="9"/>
        <v/>
      </c>
      <c r="M37" t="str">
        <f t="shared" si="25"/>
        <v/>
      </c>
      <c r="N37" t="str">
        <f t="shared" si="10"/>
        <v>Your stay in Singapore totalled  days 
from  to .</v>
      </c>
      <c r="Q37" s="176" t="str">
        <f t="shared" si="11"/>
        <v/>
      </c>
      <c r="R37" s="176" t="str">
        <f t="shared" si="26"/>
        <v/>
      </c>
      <c r="S37" s="176" t="str">
        <f t="shared" si="29"/>
        <v/>
      </c>
      <c r="T37" s="176" t="str">
        <f t="shared" si="30"/>
        <v/>
      </c>
      <c r="U37" s="176" t="str">
        <f t="shared" si="31"/>
        <v/>
      </c>
      <c r="V37" s="176" t="str">
        <f t="shared" ref="V37:V43" si="32">IF(OR(E37="",F37="",$B$44&gt;0),"",IF(IF(F37&lt;=$G$37,F37-E37+1,$G$37-E37+1)&lt;0,0,IF(F37&lt;=$G$37,F37-E37+1,$G$37-E37+1)))</f>
        <v/>
      </c>
      <c r="W37" t="str">
        <f t="shared" si="12"/>
        <v/>
      </c>
      <c r="X37" t="str">
        <f t="shared" si="13"/>
        <v/>
      </c>
      <c r="Y37" t="str">
        <f t="shared" si="14"/>
        <v/>
      </c>
      <c r="Z37" t="str">
        <f t="shared" si="15"/>
        <v/>
      </c>
      <c r="AA37" t="str">
        <f t="shared" si="16"/>
        <v/>
      </c>
      <c r="AB37" t="str">
        <f t="shared" si="17"/>
        <v/>
      </c>
      <c r="AD37" t="str">
        <f t="shared" si="18"/>
        <v>Period 6</v>
      </c>
      <c r="AE37" s="127" t="e">
        <f t="shared" si="19"/>
        <v>#N/A</v>
      </c>
      <c r="AF37" s="127" t="e">
        <f t="shared" si="27"/>
        <v>#N/A</v>
      </c>
      <c r="AG37" s="179" t="e">
        <f t="shared" si="20"/>
        <v>#N/A</v>
      </c>
      <c r="AI37" t="str">
        <f t="shared" si="21"/>
        <v>Period 6</v>
      </c>
      <c r="AJ37" s="127" t="e">
        <f t="shared" si="28"/>
        <v>#N/A</v>
      </c>
      <c r="AK37" s="179" t="e">
        <f t="shared" si="22"/>
        <v>#N/A</v>
      </c>
    </row>
    <row r="38" spans="1:37" x14ac:dyDescent="0.25">
      <c r="A38" t="str">
        <f>IF(COUNTIF($E38,"")&lt;&gt;COUNTIF($F38,""),"err",IF(AND(COUNTIF($E38:$F38,"")&lt;&gt;2,COUNTIF(E$32:E37,"")&gt;0),"err","ok"))</f>
        <v>ok</v>
      </c>
      <c r="B38" t="str">
        <f>IF(COUNTIF($E38,"")&lt;&gt;COUNTIF($F38,""),"err",IF(AND(COUNTIF($E38:$F38,"")&lt;&gt;2,COUNTIF(F$32:F37,"")&gt;0),"err","ok"))</f>
        <v>ok</v>
      </c>
      <c r="C38" t="str">
        <f t="shared" si="6"/>
        <v/>
      </c>
      <c r="D38" t="str">
        <f>'NRE Calculator'!F45</f>
        <v>Period 7</v>
      </c>
      <c r="E38" s="128" t="str">
        <f t="shared" si="7"/>
        <v/>
      </c>
      <c r="F38" s="128" t="str">
        <f t="shared" si="7"/>
        <v/>
      </c>
      <c r="G38" s="127" t="str">
        <f t="shared" si="23"/>
        <v/>
      </c>
      <c r="H38" s="127" t="str">
        <f t="shared" si="24"/>
        <v/>
      </c>
      <c r="I38">
        <f>W44</f>
        <v>0</v>
      </c>
      <c r="J38">
        <f>W61</f>
        <v>0</v>
      </c>
      <c r="K38" s="128" t="str">
        <f t="shared" ref="K38:K43" si="33">IF(OR(E38="",F38=""),"",IF(I38&gt;J38,AG38,AG55))</f>
        <v/>
      </c>
      <c r="L38" s="128" t="str">
        <f t="shared" ref="L38:L43" si="34">IF(OR(E38="",F38=""),"",IF(I38&gt;J38,AK38,AK55))</f>
        <v/>
      </c>
      <c r="M38" t="str">
        <f t="shared" si="25"/>
        <v/>
      </c>
      <c r="N38" t="str">
        <f t="shared" si="10"/>
        <v>Your stay in Singapore totalled  days 
from  to .</v>
      </c>
      <c r="Q38" s="176" t="str">
        <f t="shared" si="11"/>
        <v/>
      </c>
      <c r="R38" s="176" t="str">
        <f t="shared" si="26"/>
        <v/>
      </c>
      <c r="S38" s="176" t="str">
        <f t="shared" si="29"/>
        <v/>
      </c>
      <c r="T38" s="176" t="str">
        <f t="shared" si="30"/>
        <v/>
      </c>
      <c r="U38" s="176" t="str">
        <f t="shared" si="31"/>
        <v/>
      </c>
      <c r="V38" s="176" t="str">
        <f t="shared" si="32"/>
        <v/>
      </c>
      <c r="W38" s="176" t="str">
        <f t="shared" ref="W38:W43" si="35">IF(OR(E38="",F38="",$B$44&gt;0),"",IF(IF(F38&lt;=$G$38,F38-E38+1,$G$38-E38+1)&lt;0,0,IF(F38&lt;=$G$38,F38-E38+1,$G$38-E38+1)))</f>
        <v/>
      </c>
      <c r="X38" t="str">
        <f t="shared" si="13"/>
        <v/>
      </c>
      <c r="Y38" t="str">
        <f t="shared" si="14"/>
        <v/>
      </c>
      <c r="Z38" t="str">
        <f t="shared" si="15"/>
        <v/>
      </c>
      <c r="AA38" t="str">
        <f t="shared" si="16"/>
        <v/>
      </c>
      <c r="AB38" t="str">
        <f t="shared" si="17"/>
        <v/>
      </c>
      <c r="AD38" t="str">
        <f t="shared" si="18"/>
        <v>Period 7</v>
      </c>
      <c r="AE38" s="127" t="e">
        <f t="shared" si="19"/>
        <v>#N/A</v>
      </c>
      <c r="AF38" s="127" t="e">
        <f t="shared" si="27"/>
        <v>#N/A</v>
      </c>
      <c r="AG38" s="179" t="e">
        <f t="shared" si="20"/>
        <v>#N/A</v>
      </c>
      <c r="AI38" t="str">
        <f t="shared" si="21"/>
        <v>Period 7</v>
      </c>
      <c r="AJ38" s="127" t="e">
        <f t="shared" si="28"/>
        <v>#N/A</v>
      </c>
      <c r="AK38" s="179" t="e">
        <f t="shared" si="22"/>
        <v>#N/A</v>
      </c>
    </row>
    <row r="39" spans="1:37" x14ac:dyDescent="0.25">
      <c r="A39" t="str">
        <f>IF(COUNTIF($E39,"")&lt;&gt;COUNTIF($F39,""),"err",IF(AND(COUNTIF($E39:$F39,"")&lt;&gt;2,COUNTIF(E$32:E38,"")&gt;0),"err","ok"))</f>
        <v>ok</v>
      </c>
      <c r="B39" t="str">
        <f>IF(COUNTIF($E39,"")&lt;&gt;COUNTIF($F39,""),"err",IF(AND(COUNTIF($E39:$F39,"")&lt;&gt;2,COUNTIF(F$32:F38,"")&gt;0),"err","ok"))</f>
        <v>ok</v>
      </c>
      <c r="C39" t="str">
        <f t="shared" si="6"/>
        <v/>
      </c>
      <c r="D39" t="str">
        <f>'NRE Calculator'!F46</f>
        <v>Period 8</v>
      </c>
      <c r="E39" s="128" t="str">
        <f t="shared" si="7"/>
        <v/>
      </c>
      <c r="F39" s="128" t="str">
        <f t="shared" si="7"/>
        <v/>
      </c>
      <c r="G39" s="127" t="str">
        <f t="shared" si="23"/>
        <v/>
      </c>
      <c r="H39" s="127" t="str">
        <f t="shared" si="24"/>
        <v/>
      </c>
      <c r="I39">
        <f>X44</f>
        <v>0</v>
      </c>
      <c r="J39">
        <f>X61</f>
        <v>0</v>
      </c>
      <c r="K39" s="128" t="str">
        <f t="shared" si="33"/>
        <v/>
      </c>
      <c r="L39" s="128" t="str">
        <f t="shared" si="34"/>
        <v/>
      </c>
      <c r="M39" t="str">
        <f t="shared" si="25"/>
        <v/>
      </c>
      <c r="N39" t="str">
        <f t="shared" si="10"/>
        <v>Your stay in Singapore totalled  days 
from  to .</v>
      </c>
      <c r="Q39" s="176" t="str">
        <f t="shared" si="11"/>
        <v/>
      </c>
      <c r="R39" s="176" t="str">
        <f t="shared" si="26"/>
        <v/>
      </c>
      <c r="S39" s="176" t="str">
        <f t="shared" si="29"/>
        <v/>
      </c>
      <c r="T39" s="176" t="str">
        <f t="shared" si="30"/>
        <v/>
      </c>
      <c r="U39" s="176" t="str">
        <f t="shared" si="31"/>
        <v/>
      </c>
      <c r="V39" s="176" t="str">
        <f t="shared" si="32"/>
        <v/>
      </c>
      <c r="W39" s="176" t="str">
        <f t="shared" si="35"/>
        <v/>
      </c>
      <c r="X39" s="176" t="str">
        <f>IF(OR(E39="",F39="",$B$44&gt;0),"",IF(IF(F39&lt;=$G$39,F39-E39+1,$G$39-E39+1)&lt;0,0,IF(F39&lt;=$G$39,F39-E39+1,$G$39-E39+1)))</f>
        <v/>
      </c>
      <c r="Y39" t="str">
        <f t="shared" si="14"/>
        <v/>
      </c>
      <c r="Z39" t="str">
        <f t="shared" si="15"/>
        <v/>
      </c>
      <c r="AA39" t="str">
        <f t="shared" si="16"/>
        <v/>
      </c>
      <c r="AB39" t="str">
        <f t="shared" si="17"/>
        <v/>
      </c>
      <c r="AD39" t="str">
        <f t="shared" si="18"/>
        <v>Period 8</v>
      </c>
      <c r="AE39" s="127" t="e">
        <f t="shared" si="19"/>
        <v>#N/A</v>
      </c>
      <c r="AF39" s="127" t="e">
        <f t="shared" si="27"/>
        <v>#N/A</v>
      </c>
      <c r="AG39" s="179" t="e">
        <f t="shared" si="20"/>
        <v>#N/A</v>
      </c>
      <c r="AI39" t="str">
        <f t="shared" si="21"/>
        <v>Period 8</v>
      </c>
      <c r="AJ39" s="127" t="e">
        <f t="shared" si="28"/>
        <v>#N/A</v>
      </c>
      <c r="AK39" s="179" t="e">
        <f t="shared" si="22"/>
        <v>#N/A</v>
      </c>
    </row>
    <row r="40" spans="1:37" x14ac:dyDescent="0.25">
      <c r="A40" t="str">
        <f>IF(COUNTIF($E40,"")&lt;&gt;COUNTIF($F40,""),"err",IF(AND(COUNTIF($E40:$F40,"")&lt;&gt;2,COUNTIF(E$32:E39,"")&gt;0),"err","ok"))</f>
        <v>ok</v>
      </c>
      <c r="B40" t="str">
        <f>IF(COUNTIF($E40,"")&lt;&gt;COUNTIF($F40,""),"err",IF(AND(COUNTIF($E40:$F40,"")&lt;&gt;2,COUNTIF(F$32:F39,"")&gt;0),"err","ok"))</f>
        <v>ok</v>
      </c>
      <c r="C40" t="str">
        <f t="shared" si="6"/>
        <v/>
      </c>
      <c r="D40" t="str">
        <f>'NRE Calculator'!F47</f>
        <v>Period 9</v>
      </c>
      <c r="E40" s="128" t="str">
        <f t="shared" si="7"/>
        <v/>
      </c>
      <c r="F40" s="128" t="str">
        <f t="shared" si="7"/>
        <v/>
      </c>
      <c r="G40" s="127" t="str">
        <f t="shared" si="23"/>
        <v/>
      </c>
      <c r="H40" s="127" t="str">
        <f t="shared" si="24"/>
        <v/>
      </c>
      <c r="I40">
        <f>Y44</f>
        <v>0</v>
      </c>
      <c r="J40">
        <f>Y61</f>
        <v>0</v>
      </c>
      <c r="K40" s="128" t="str">
        <f t="shared" si="33"/>
        <v/>
      </c>
      <c r="L40" s="128" t="str">
        <f t="shared" si="34"/>
        <v/>
      </c>
      <c r="M40" t="str">
        <f t="shared" si="25"/>
        <v/>
      </c>
      <c r="N40" t="str">
        <f t="shared" si="10"/>
        <v>Your stay in Singapore totalled  days 
from  to .</v>
      </c>
      <c r="Q40" s="176" t="str">
        <f t="shared" si="11"/>
        <v/>
      </c>
      <c r="R40" s="176" t="str">
        <f t="shared" si="26"/>
        <v/>
      </c>
      <c r="S40" s="176" t="str">
        <f t="shared" si="29"/>
        <v/>
      </c>
      <c r="T40" s="176" t="str">
        <f t="shared" si="30"/>
        <v/>
      </c>
      <c r="U40" s="176" t="str">
        <f t="shared" si="31"/>
        <v/>
      </c>
      <c r="V40" s="176" t="str">
        <f t="shared" si="32"/>
        <v/>
      </c>
      <c r="W40" s="176" t="str">
        <f t="shared" si="35"/>
        <v/>
      </c>
      <c r="X40" s="176" t="str">
        <f>IF(OR(E40="",F40="",$B$44&gt;0),"",IF(IF(F40&lt;=$G$39,F40-E40+1,$G$39-E40+1)&lt;0,0,IF(F40&lt;=$G$39,F40-E40+1,$G$39-E40+1)))</f>
        <v/>
      </c>
      <c r="Y40" s="176" t="str">
        <f>IF(OR(E40="",F40="",$B$44&gt;0),"",IF(IF(F40&lt;=$G$40,F40-E40+1,$G$40-E40+1)&lt;0,0,IF(F40&lt;=$G$40,F40-E40+1,$G$40-E40+1)))</f>
        <v/>
      </c>
      <c r="Z40" t="str">
        <f t="shared" si="15"/>
        <v/>
      </c>
      <c r="AA40" t="str">
        <f t="shared" si="16"/>
        <v/>
      </c>
      <c r="AB40" t="str">
        <f t="shared" si="17"/>
        <v/>
      </c>
      <c r="AD40" t="str">
        <f t="shared" si="18"/>
        <v>Period 9</v>
      </c>
      <c r="AE40" s="127" t="e">
        <f t="shared" si="19"/>
        <v>#N/A</v>
      </c>
      <c r="AF40" s="127" t="e">
        <f t="shared" si="27"/>
        <v>#N/A</v>
      </c>
      <c r="AG40" s="179" t="e">
        <f t="shared" si="20"/>
        <v>#N/A</v>
      </c>
      <c r="AI40" t="str">
        <f t="shared" si="21"/>
        <v>Period 9</v>
      </c>
      <c r="AJ40" s="127" t="e">
        <f t="shared" si="28"/>
        <v>#N/A</v>
      </c>
      <c r="AK40" s="179" t="e">
        <f t="shared" si="22"/>
        <v>#N/A</v>
      </c>
    </row>
    <row r="41" spans="1:37" x14ac:dyDescent="0.25">
      <c r="A41" t="str">
        <f>IF(COUNTIF($E41,"")&lt;&gt;COUNTIF($F41,""),"err",IF(AND(COUNTIF($E41:$F41,"")&lt;&gt;2,COUNTIF(E$32:E40,"")&gt;0),"err","ok"))</f>
        <v>ok</v>
      </c>
      <c r="B41" t="str">
        <f>IF(COUNTIF($E41,"")&lt;&gt;COUNTIF($F41,""),"err",IF(AND(COUNTIF($E41:$F41,"")&lt;&gt;2,COUNTIF(F$32:F40,"")&gt;0),"err","ok"))</f>
        <v>ok</v>
      </c>
      <c r="C41" t="str">
        <f t="shared" si="6"/>
        <v/>
      </c>
      <c r="D41" t="str">
        <f>'NRE Calculator'!F48</f>
        <v>Period 10</v>
      </c>
      <c r="E41" s="128" t="str">
        <f t="shared" si="7"/>
        <v/>
      </c>
      <c r="F41" s="128" t="str">
        <f t="shared" si="7"/>
        <v/>
      </c>
      <c r="G41" s="127" t="str">
        <f t="shared" si="23"/>
        <v/>
      </c>
      <c r="H41" s="127" t="str">
        <f t="shared" si="24"/>
        <v/>
      </c>
      <c r="I41">
        <f>Z44</f>
        <v>0</v>
      </c>
      <c r="J41">
        <f>Z61</f>
        <v>0</v>
      </c>
      <c r="K41" s="128" t="str">
        <f t="shared" si="33"/>
        <v/>
      </c>
      <c r="L41" s="128" t="str">
        <f t="shared" si="34"/>
        <v/>
      </c>
      <c r="M41" t="str">
        <f t="shared" si="25"/>
        <v/>
      </c>
      <c r="N41" t="str">
        <f t="shared" si="10"/>
        <v>Your stay in Singapore totalled  days 
from  to .</v>
      </c>
      <c r="Q41" s="176" t="str">
        <f t="shared" si="11"/>
        <v/>
      </c>
      <c r="R41" s="176" t="str">
        <f t="shared" si="26"/>
        <v/>
      </c>
      <c r="S41" s="176" t="str">
        <f t="shared" si="29"/>
        <v/>
      </c>
      <c r="T41" s="176" t="str">
        <f t="shared" si="30"/>
        <v/>
      </c>
      <c r="U41" s="176" t="str">
        <f t="shared" si="31"/>
        <v/>
      </c>
      <c r="V41" s="176" t="str">
        <f t="shared" si="32"/>
        <v/>
      </c>
      <c r="W41" s="176" t="str">
        <f t="shared" si="35"/>
        <v/>
      </c>
      <c r="X41" s="176" t="str">
        <f>IF(OR(E41="",F41="",$B$44&gt;0),"",IF(IF(F41&lt;=$G$39,F41-E41+1,$G$39-E41+1)&lt;0,0,IF(F41&lt;=$G$39,F41-E41+1,$G$39-E41+1)))</f>
        <v/>
      </c>
      <c r="Y41" s="176" t="str">
        <f>IF(OR(E41="",F41="",$B$44&gt;0),"",IF(IF(F41&lt;=$G$40,F41-E41+1,$G$40-E41+1)&lt;0,0,IF(F41&lt;=$G$40,F41-E41+1,$G$40-E41+1)))</f>
        <v/>
      </c>
      <c r="Z41" s="176" t="str">
        <f>IF(OR(E41="",F41="",$B$44&gt;0),"",IF(IF(F41&lt;=$G$41,F41-E41+1,$G$41-E41+1)&lt;0,0,IF(F41&lt;=$G$41,F41-E41+1,$G$41-E41+1)))</f>
        <v/>
      </c>
      <c r="AA41" t="str">
        <f t="shared" si="16"/>
        <v/>
      </c>
      <c r="AB41" t="str">
        <f t="shared" si="17"/>
        <v/>
      </c>
      <c r="AD41" t="str">
        <f t="shared" si="18"/>
        <v>Period 10</v>
      </c>
      <c r="AE41" s="127" t="e">
        <f t="shared" si="19"/>
        <v>#N/A</v>
      </c>
      <c r="AF41" s="127" t="e">
        <f t="shared" si="27"/>
        <v>#N/A</v>
      </c>
      <c r="AG41" s="179" t="e">
        <f t="shared" si="20"/>
        <v>#N/A</v>
      </c>
      <c r="AI41" t="str">
        <f t="shared" si="21"/>
        <v>Period 10</v>
      </c>
      <c r="AJ41" s="127" t="e">
        <f t="shared" si="28"/>
        <v>#N/A</v>
      </c>
      <c r="AK41" s="179" t="e">
        <f t="shared" si="22"/>
        <v>#N/A</v>
      </c>
    </row>
    <row r="42" spans="1:37" x14ac:dyDescent="0.25">
      <c r="A42" t="str">
        <f>IF(COUNTIF($E42,"")&lt;&gt;COUNTIF($F42,""),"err",IF(AND(COUNTIF($E42:$F42,"")&lt;&gt;2,COUNTIF(E$32:E41,"")&gt;0),"err","ok"))</f>
        <v>ok</v>
      </c>
      <c r="B42" t="str">
        <f>IF(COUNTIF($E42,"")&lt;&gt;COUNTIF($F42,""),"err",IF(AND(COUNTIF($E42:$F42,"")&lt;&gt;2,COUNTIF(F$32:F41,"")&gt;0),"err","ok"))</f>
        <v>ok</v>
      </c>
      <c r="C42" t="str">
        <f t="shared" si="6"/>
        <v/>
      </c>
      <c r="D42" t="str">
        <f>'NRE Calculator'!F49</f>
        <v>Period 11</v>
      </c>
      <c r="E42" s="128" t="str">
        <f t="shared" si="7"/>
        <v/>
      </c>
      <c r="F42" s="128" t="str">
        <f t="shared" si="7"/>
        <v/>
      </c>
      <c r="G42" s="127" t="str">
        <f>IF(OR(E42="",F42=""),"",DATE(YEAR(E42)+1,MONTH(E42),DAY(E42)-1))</f>
        <v/>
      </c>
      <c r="H42" s="127" t="str">
        <f>IF(OR(E42="",F42=""),"",DATE(YEAR(F42)-1,MONTH(F42),DAY(F42)+1))</f>
        <v/>
      </c>
      <c r="I42">
        <f>AA44</f>
        <v>0</v>
      </c>
      <c r="J42">
        <f>AA61</f>
        <v>0</v>
      </c>
      <c r="K42" s="128" t="str">
        <f t="shared" si="33"/>
        <v/>
      </c>
      <c r="L42" s="128" t="str">
        <f t="shared" si="34"/>
        <v/>
      </c>
      <c r="M42" t="str">
        <f t="shared" si="25"/>
        <v/>
      </c>
      <c r="N42" t="str">
        <f t="shared" si="10"/>
        <v>Your stay in Singapore totalled  days 
from  to .</v>
      </c>
      <c r="Q42" s="176" t="str">
        <f t="shared" si="11"/>
        <v/>
      </c>
      <c r="R42" s="176" t="str">
        <f t="shared" si="26"/>
        <v/>
      </c>
      <c r="S42" s="176" t="str">
        <f t="shared" si="29"/>
        <v/>
      </c>
      <c r="T42" s="176" t="str">
        <f t="shared" si="30"/>
        <v/>
      </c>
      <c r="U42" s="176" t="str">
        <f t="shared" si="31"/>
        <v/>
      </c>
      <c r="V42" s="176" t="str">
        <f t="shared" si="32"/>
        <v/>
      </c>
      <c r="W42" s="176" t="str">
        <f t="shared" si="35"/>
        <v/>
      </c>
      <c r="X42" s="176" t="str">
        <f>IF(OR(E42="",F42="",$B$44&gt;0),"",IF(IF(F42&lt;=$G$39,F42-E42+1,$G$39-E42+1)&lt;0,0,IF(F42&lt;=$G$39,F42-E42+1,$G$39-E42+1)))</f>
        <v/>
      </c>
      <c r="Y42" s="176" t="str">
        <f>IF(OR(E42="",F42="",$B$44&gt;0),"",IF(IF(F42&lt;=$G$40,F42-E42+1,$G$40-E42+1)&lt;0,0,IF(F42&lt;=$G$40,F42-E42+1,$G$40-E42+1)))</f>
        <v/>
      </c>
      <c r="Z42" s="176" t="str">
        <f>IF(OR(E42="",F42="",$B$44&gt;0),"",IF(IF(F42&lt;=$G$41,F42-E42+1,$G$41-E42+1)&lt;0,0,IF(F42&lt;=$G$41,F42-E42+1,$G$41-E42+1)))</f>
        <v/>
      </c>
      <c r="AA42" s="176" t="str">
        <f>IF(OR(E42="",F42="",$B$44&gt;0),"",IF(IF(F42&lt;=$G$42,F42-E42+1,$G$42-E42+1)&lt;0,0,IF(F42&lt;=$G$42,F42-E42+1,$G$42-E42+1)))</f>
        <v/>
      </c>
      <c r="AB42" t="str">
        <f t="shared" si="17"/>
        <v/>
      </c>
      <c r="AD42" t="str">
        <f t="shared" si="18"/>
        <v>Period 11</v>
      </c>
      <c r="AE42" s="127" t="e">
        <f t="shared" si="19"/>
        <v>#N/A</v>
      </c>
      <c r="AF42" s="127" t="e">
        <f>IF(AE42="","",DATE(YEAR(AE42)-1,MONTH(AE42),DAY(AE42)+1))</f>
        <v>#N/A</v>
      </c>
      <c r="AG42" s="179" t="e">
        <f t="shared" si="20"/>
        <v>#N/A</v>
      </c>
      <c r="AI42" t="str">
        <f t="shared" si="21"/>
        <v>Period 11</v>
      </c>
      <c r="AJ42" s="127" t="e">
        <f>IF(AE42="","",DATE(YEAR(AG42)+1,MONTH(AG42),DAY(AG42)-1))</f>
        <v>#N/A</v>
      </c>
      <c r="AK42" s="179" t="e">
        <f t="shared" si="22"/>
        <v>#N/A</v>
      </c>
    </row>
    <row r="43" spans="1:37" x14ac:dyDescent="0.25">
      <c r="A43" t="str">
        <f>IF(COUNTIF($E43,"")&lt;&gt;COUNTIF($F43,""),"err",IF(AND(COUNTIF($E43:$F43,"")&lt;&gt;2,COUNTIF(E$32:E42,"")&gt;0),"err","ok"))</f>
        <v>ok</v>
      </c>
      <c r="B43" t="str">
        <f>IF(COUNTIF($E43,"")&lt;&gt;COUNTIF($F43,""),"err",IF(AND(COUNTIF($E43:$F43,"")&lt;&gt;2,COUNTIF(F$32:F42,"")&gt;0),"err","ok"))</f>
        <v>ok</v>
      </c>
      <c r="C43" t="str">
        <f t="shared" si="6"/>
        <v/>
      </c>
      <c r="D43" t="str">
        <f>'NRE Calculator'!F50</f>
        <v>Period 12</v>
      </c>
      <c r="E43" s="128" t="str">
        <f t="shared" si="7"/>
        <v/>
      </c>
      <c r="F43" s="128" t="str">
        <f t="shared" si="7"/>
        <v/>
      </c>
      <c r="G43" s="127" t="str">
        <f>IF(OR(E43="",F43=""),"",DATE(YEAR(E43)+1,MONTH(E43),DAY(E43)-1))</f>
        <v/>
      </c>
      <c r="H43" s="127" t="str">
        <f>IF(OR(E43="",F43=""),"",DATE(YEAR(F43)-1,MONTH(F43),DAY(F43)+1))</f>
        <v/>
      </c>
      <c r="I43">
        <f>AB44</f>
        <v>0</v>
      </c>
      <c r="J43">
        <f>AB61</f>
        <v>0</v>
      </c>
      <c r="K43" s="128" t="str">
        <f t="shared" si="33"/>
        <v/>
      </c>
      <c r="L43" s="128" t="str">
        <f t="shared" si="34"/>
        <v/>
      </c>
      <c r="M43" t="str">
        <f t="shared" si="25"/>
        <v/>
      </c>
      <c r="N43" t="str">
        <f t="shared" si="10"/>
        <v>Your stay in Singapore totalled  days 
from  to .</v>
      </c>
      <c r="Q43" s="176" t="str">
        <f t="shared" si="11"/>
        <v/>
      </c>
      <c r="R43" s="176" t="str">
        <f t="shared" si="26"/>
        <v/>
      </c>
      <c r="S43" s="176" t="str">
        <f t="shared" si="29"/>
        <v/>
      </c>
      <c r="T43" s="176" t="str">
        <f t="shared" si="30"/>
        <v/>
      </c>
      <c r="U43" s="176" t="str">
        <f t="shared" si="31"/>
        <v/>
      </c>
      <c r="V43" s="176" t="str">
        <f t="shared" si="32"/>
        <v/>
      </c>
      <c r="W43" s="176" t="str">
        <f t="shared" si="35"/>
        <v/>
      </c>
      <c r="X43" s="176" t="str">
        <f>IF(OR(E43="",F43="",$B$44&gt;0),"",IF(IF(F43&lt;=$G$39,F43-E43+1,$G$39-E43+1)&lt;0,0,IF(F43&lt;=$G$39,F43-E43+1,$G$39-E43+1)))</f>
        <v/>
      </c>
      <c r="Y43" s="176" t="str">
        <f>IF(OR(E43="",F43="",$B$44&gt;0),"",IF(IF(F43&lt;=$G$40,F43-E43+1,$G$40-E43+1)&lt;0,0,IF(F43&lt;=$G$40,F43-E43+1,$G$40-E43+1)))</f>
        <v/>
      </c>
      <c r="Z43" s="176" t="str">
        <f>IF(OR(E43="",F43="",$B$44&gt;0),"",IF(IF(F43&lt;=$G$41,F43-E43+1,$G$41-E43+1)&lt;0,0,IF(F43&lt;=$G$41,F43-E43+1,$G$41-E43+1)))</f>
        <v/>
      </c>
      <c r="AA43" s="176" t="str">
        <f>IF(OR(E43="",F43="",$B$44&gt;0),"",IF(IF(F43&lt;=$G$42,F43-E43+1,$G$42-E43+1)&lt;0,0,IF(F43&lt;=$G$42,F43-E43+1,$G$42-E43+1)))</f>
        <v/>
      </c>
      <c r="AB43" s="176" t="str">
        <f>IF(OR(E43="",F43="",$B$44&gt;0),"",IF(IF(F43&lt;=$G$43,F43-E43+1,$G$43-E43+1)&lt;0,0,IF(F43&lt;=$G$43,F43-E43+1,$G$43-E43+1)))</f>
        <v/>
      </c>
      <c r="AD43" t="str">
        <f t="shared" si="18"/>
        <v>Period 12</v>
      </c>
      <c r="AE43" s="127" t="e">
        <f t="shared" si="19"/>
        <v>#N/A</v>
      </c>
      <c r="AF43" s="127" t="e">
        <f>IF(AE43="","",DATE(YEAR(AE43)-1,MONTH(AE43),DAY(AE43)+1))</f>
        <v>#N/A</v>
      </c>
      <c r="AG43" s="179" t="e">
        <f t="shared" si="20"/>
        <v>#N/A</v>
      </c>
      <c r="AI43" t="str">
        <f t="shared" si="21"/>
        <v>Period 12</v>
      </c>
      <c r="AJ43" s="127" t="e">
        <f>IF(AE43="","",DATE(YEAR(AG43)+1,MONTH(AG43),DAY(AG43)-1))</f>
        <v>#N/A</v>
      </c>
      <c r="AK43" s="179" t="e">
        <f t="shared" si="22"/>
        <v>#N/A</v>
      </c>
    </row>
    <row r="44" spans="1:37" ht="15.75" thickBot="1" x14ac:dyDescent="0.3">
      <c r="A44" t="s">
        <v>422</v>
      </c>
      <c r="B44" s="140">
        <f>COUNTIF(A32:B43,"err")</f>
        <v>0</v>
      </c>
      <c r="P44" s="131" t="s">
        <v>402</v>
      </c>
      <c r="Q44" s="137">
        <f>SUM(Q32:Q43)</f>
        <v>0</v>
      </c>
      <c r="R44" s="137">
        <f t="shared" ref="R44:AB44" si="36">SUM(R32:R43)</f>
        <v>0</v>
      </c>
      <c r="S44" s="137">
        <f t="shared" si="36"/>
        <v>0</v>
      </c>
      <c r="T44" s="137">
        <f t="shared" si="36"/>
        <v>0</v>
      </c>
      <c r="U44" s="137">
        <f t="shared" si="36"/>
        <v>0</v>
      </c>
      <c r="V44" s="137">
        <f t="shared" si="36"/>
        <v>0</v>
      </c>
      <c r="W44" s="137">
        <f t="shared" si="36"/>
        <v>0</v>
      </c>
      <c r="X44" s="137">
        <f t="shared" si="36"/>
        <v>0</v>
      </c>
      <c r="Y44" s="137">
        <f t="shared" si="36"/>
        <v>0</v>
      </c>
      <c r="Z44" s="137">
        <f t="shared" si="36"/>
        <v>0</v>
      </c>
      <c r="AA44" s="137">
        <f t="shared" si="36"/>
        <v>0</v>
      </c>
      <c r="AB44" s="137">
        <f t="shared" si="36"/>
        <v>0</v>
      </c>
    </row>
    <row r="45" spans="1:37" ht="15.75" thickTop="1" x14ac:dyDescent="0.25"/>
    <row r="46" spans="1:37" x14ac:dyDescent="0.25">
      <c r="D46" s="129" t="s">
        <v>400</v>
      </c>
    </row>
    <row r="47" spans="1:37" x14ac:dyDescent="0.25">
      <c r="C47" t="s">
        <v>423</v>
      </c>
      <c r="D47" t="s">
        <v>424</v>
      </c>
      <c r="E47" t="str">
        <f>CONCATENATE(CHAR(10),"from ")</f>
        <v xml:space="preserve">
from </v>
      </c>
      <c r="F47" t="s">
        <v>425</v>
      </c>
      <c r="G47" t="s">
        <v>426</v>
      </c>
      <c r="Q47" s="129" t="str">
        <f>J31</f>
        <v>Within 12 mths before Date To</v>
      </c>
      <c r="AE47" s="129" t="s">
        <v>408</v>
      </c>
      <c r="AJ47" s="129" t="s">
        <v>409</v>
      </c>
    </row>
    <row r="48" spans="1:37" ht="135" x14ac:dyDescent="0.25">
      <c r="C48" t="s">
        <v>427</v>
      </c>
      <c r="D48" t="s">
        <v>424</v>
      </c>
      <c r="E48" t="str">
        <f>CONCATENATE(CHAR(10),"from ")</f>
        <v xml:space="preserve">
from </v>
      </c>
      <c r="F48" t="s">
        <v>425</v>
      </c>
      <c r="G48" t="s">
        <v>426</v>
      </c>
      <c r="Q48" t="str">
        <f t="shared" ref="Q48:AB48" si="37">Q31</f>
        <v>Period 1</v>
      </c>
      <c r="R48" t="str">
        <f t="shared" si="37"/>
        <v>Period 2</v>
      </c>
      <c r="S48" t="str">
        <f t="shared" si="37"/>
        <v>Period 3</v>
      </c>
      <c r="T48" t="str">
        <f t="shared" si="37"/>
        <v>Period 4</v>
      </c>
      <c r="U48" t="str">
        <f t="shared" si="37"/>
        <v>Period 5</v>
      </c>
      <c r="V48" t="str">
        <f t="shared" si="37"/>
        <v>Period 6</v>
      </c>
      <c r="W48" t="str">
        <f t="shared" si="37"/>
        <v>Period 7</v>
      </c>
      <c r="X48" t="str">
        <f t="shared" si="37"/>
        <v>Period 8</v>
      </c>
      <c r="Y48" t="str">
        <f t="shared" si="37"/>
        <v>Period 9</v>
      </c>
      <c r="Z48" t="str">
        <f t="shared" si="37"/>
        <v>Period 10</v>
      </c>
      <c r="AA48" t="str">
        <f t="shared" si="37"/>
        <v>Period 11</v>
      </c>
      <c r="AB48" t="str">
        <f t="shared" si="37"/>
        <v>Period 12</v>
      </c>
      <c r="AE48" s="178" t="s">
        <v>428</v>
      </c>
      <c r="AF48" s="178" t="s">
        <v>429</v>
      </c>
      <c r="AG48" s="181" t="s">
        <v>419</v>
      </c>
      <c r="AJ48" s="178" t="s">
        <v>420</v>
      </c>
      <c r="AK48" s="181" t="s">
        <v>421</v>
      </c>
    </row>
    <row r="49" spans="4:37" x14ac:dyDescent="0.25">
      <c r="Q49" s="177" t="str">
        <f>IF(OR($H$32="",$B$44&gt;0),"",IF(IF(E32&gt;=$H$32,F32-E32+1,F32-$H$32+1)&lt;0,0,IF(E32&gt;=$H$32,F32-E32+1,F32-$H$32+1)))</f>
        <v/>
      </c>
      <c r="R49" s="177" t="str">
        <f>IF(OR($H$33="",$B$44&gt;0),"",IF(IF(E32&gt;=$H$33,F32-E32+1,F32-$H$33+1)&lt;0,0,IF(E32&gt;=$H$33,F32-E32+1,F32-$H$33+1)))</f>
        <v/>
      </c>
      <c r="S49" s="177" t="str">
        <f>IF(OR($H$34="",$B$44&gt;0),"",IF(IF(E32&gt;=$H$34,F32-E32+1,F32-$H$34+1)&lt;0,0,IF(E32&gt;=$H$34,F32-E32+1,F32-$H$34+1)))</f>
        <v/>
      </c>
      <c r="T49" s="177" t="str">
        <f>IF(OR($H$35="",$B$44&gt;0),"",IF(IF(E32&gt;=$H$35,F32-E32+1,F32-$H$35+1)&lt;0,0,IF(E32&gt;=$H$35,F32-E32+1,F32-$H$35+1)))</f>
        <v/>
      </c>
      <c r="U49" s="177" t="str">
        <f>IF(OR($H$36="",$B$44&gt;0),"",IF(IF(E32&gt;=$H$36,F32-E32+1,F32-$H$36+1)&lt;0,0,IF(E32&gt;=$H$36,F32-E32+1,F32-$H$36+1)))</f>
        <v/>
      </c>
      <c r="V49" s="177" t="str">
        <f t="shared" ref="V49:V54" si="38">IF(OR($H$37="",$B$44&gt;0),"",IF(IF(E32&gt;=$H$37,F32-E32+1,F32-$H$37+1)&lt;0,0,IF(E32&gt;=$H$37,F32-E32+1,F32-$H$37+1)))</f>
        <v/>
      </c>
      <c r="W49" s="177" t="str">
        <f t="shared" ref="W49:W54" si="39">IF(OR($H$38="",$B$44&gt;0),"",IF(IF(E32&gt;=$H$38,F32-E32+1,F32-$H$38+1)&lt;0,0,IF(E32&gt;=$H$38,F32-E32+1,F32-$H$38+1)))</f>
        <v/>
      </c>
      <c r="X49" s="177" t="str">
        <f t="shared" ref="X49:X54" si="40">IF(OR($H$39="",$B$44&gt;0),"",IF(IF(E32&gt;=$H$39,F32-E32+1,F32-$H$39+1)&lt;0,0,IF(E32&gt;=$H$39,F32-E32+1,F32-$H$39+1)))</f>
        <v/>
      </c>
      <c r="Y49" s="177" t="str">
        <f t="shared" ref="Y49:Y54" si="41">IF(OR($H$40="",$B$44&gt;0),"",IF(IF(E32&gt;=$H$40,F32-E32+1,F32-$H$40+1)&lt;0,0,IF(E32&gt;=$H$40,F32-E32+1,F32-$H$40+1)))</f>
        <v/>
      </c>
      <c r="Z49" s="177" t="str">
        <f t="shared" ref="Z49:Z54" si="42">IF(OR($H$41="",$B$44&gt;0),"",IF(IF(E32&gt;=$H$41,F32-E32+1,F32-$H$41+1)&lt;0,0,IF(E32&gt;=$H$41,F32-E32+1,F32-$H$41+1)))</f>
        <v/>
      </c>
      <c r="AA49" s="177" t="str">
        <f t="shared" ref="AA49:AA54" si="43">IF(OR($H$42="",$B$44&gt;0),"",IF(IF(E32&gt;=$H$42,F32-E32+1,F32-$H$42+1)&lt;0,0,IF(E32&gt;=$H$42,F32-E32+1,F32-$H$42+1)))</f>
        <v/>
      </c>
      <c r="AB49" s="177" t="str">
        <f t="shared" ref="AB49:AB54" si="44">IF(OR($H$43="",$B$44&gt;0),"",IF(IF(E32&gt;=$H$43,F32-E32+1,F32-$H$43+1)&lt;0,0,IF(E32&gt;=$H$43,F32-E32+1,F32-$H$43+1)))</f>
        <v/>
      </c>
      <c r="AD49" t="str">
        <f t="shared" ref="AD49:AD54" si="45">$D32</f>
        <v>Period 1</v>
      </c>
      <c r="AE49" s="127" t="e">
        <f t="shared" ref="AE49:AE54" si="46">DATE(YEAR(F32)-1,MONTH(F32),DAY(F32)+1)</f>
        <v>#VALUE!</v>
      </c>
      <c r="AF49" s="127" t="e">
        <f t="shared" ref="AF49:AF54" si="47">MIN(AE49,E32)</f>
        <v>#VALUE!</v>
      </c>
      <c r="AG49" s="182" t="e">
        <f t="shared" ref="AG49:AG60" si="48">MAX(AF49,$E$32)</f>
        <v>#VALUE!</v>
      </c>
      <c r="AI49" t="str">
        <f t="shared" ref="AI49:AI54" si="49">$D32</f>
        <v>Period 1</v>
      </c>
      <c r="AJ49" s="127" t="e">
        <f>IF(AE49="","",DATE(YEAR(AG49)+1,MONTH(AG49),DAY(AG49)-1))</f>
        <v>#VALUE!</v>
      </c>
      <c r="AK49" s="182" t="e">
        <f t="shared" ref="AK49:AK60" si="50">MIN(AJ49,VLOOKUP(1,$C$32:$H$43,4,FALSE))</f>
        <v>#N/A</v>
      </c>
    </row>
    <row r="50" spans="4:37" x14ac:dyDescent="0.25">
      <c r="R50" s="177" t="str">
        <f>IF(OR($H$33="",$B$44&gt;0),"",IF(IF(E33&gt;=$H$33,F33-E33+1,F33-$H$33+1)&lt;0,0,IF(E33&gt;=$H$33,F33-E33+1,F33-$H$33+1)))</f>
        <v/>
      </c>
      <c r="S50" s="177" t="str">
        <f>IF(OR($H$34="",$B$44&gt;0),"",IF(IF(E33&gt;=$H$34,F33-E33+1,F33-$H$34+1)&lt;0,0,IF(E33&gt;=$H$34,F33-E33+1,F33-$H$34+1)))</f>
        <v/>
      </c>
      <c r="T50" s="177" t="str">
        <f>IF(OR($H$35="",$B$44&gt;0),"",IF(IF(E33&gt;=$H$35,F33-E33+1,F33-$H$35+1)&lt;0,0,IF(E33&gt;=$H$35,F33-E33+1,F33-$H$35+1)))</f>
        <v/>
      </c>
      <c r="U50" s="177" t="str">
        <f>IF(OR($H$36="",$B$44&gt;0),"",IF(IF(E33&gt;=$H$36,F33-E33+1,F33-$H$36+1)&lt;0,0,IF(E33&gt;=$H$36,F33-E33+1,F33-$H$36+1)))</f>
        <v/>
      </c>
      <c r="V50" s="177" t="str">
        <f t="shared" si="38"/>
        <v/>
      </c>
      <c r="W50" s="177" t="str">
        <f t="shared" si="39"/>
        <v/>
      </c>
      <c r="X50" s="177" t="str">
        <f t="shared" si="40"/>
        <v/>
      </c>
      <c r="Y50" s="177" t="str">
        <f t="shared" si="41"/>
        <v/>
      </c>
      <c r="Z50" s="177" t="str">
        <f t="shared" si="42"/>
        <v/>
      </c>
      <c r="AA50" s="177" t="str">
        <f t="shared" si="43"/>
        <v/>
      </c>
      <c r="AB50" s="177" t="str">
        <f t="shared" si="44"/>
        <v/>
      </c>
      <c r="AD50" t="str">
        <f t="shared" si="45"/>
        <v>Period 2</v>
      </c>
      <c r="AE50" s="127" t="e">
        <f t="shared" si="46"/>
        <v>#VALUE!</v>
      </c>
      <c r="AF50" s="127" t="e">
        <f t="shared" si="47"/>
        <v>#VALUE!</v>
      </c>
      <c r="AG50" s="182" t="e">
        <f t="shared" si="48"/>
        <v>#VALUE!</v>
      </c>
      <c r="AI50" t="str">
        <f t="shared" si="49"/>
        <v>Period 2</v>
      </c>
      <c r="AJ50" s="127" t="e">
        <f t="shared" ref="AJ50:AJ58" si="51">IF(AE50="","",DATE(YEAR(AG50)+1,MONTH(AG50),DAY(AG50)-1))</f>
        <v>#VALUE!</v>
      </c>
      <c r="AK50" s="182" t="e">
        <f t="shared" si="50"/>
        <v>#N/A</v>
      </c>
    </row>
    <row r="51" spans="4:37" ht="26.25" x14ac:dyDescent="0.45">
      <c r="D51" s="359" t="s">
        <v>378</v>
      </c>
      <c r="S51" s="177" t="str">
        <f>IF(OR($H$34="",$B$44&gt;0),"",IF(IF(E34&gt;=$H$34,F34-E34+1,F34-$H$34+1)&lt;0,0,IF(E34&gt;=$H$34,F34-E34+1,F34-$H$34+1)))</f>
        <v/>
      </c>
      <c r="T51" s="177" t="str">
        <f>IF(OR($H$35="",$B$44&gt;0),"",IF(IF(E34&gt;=$H$35,F34-E34+1,F34-$H$35+1)&lt;0,0,IF(E34&gt;=$H$35,F34-E34+1,F34-$H$35+1)))</f>
        <v/>
      </c>
      <c r="U51" s="177" t="str">
        <f>IF(OR($H$36="",$B$44&gt;0),"",IF(IF(E34&gt;=$H$36,F34-E34+1,F34-$H$36+1)&lt;0,0,IF(E34&gt;=$H$36,F34-E34+1,F34-$H$36+1)))</f>
        <v/>
      </c>
      <c r="V51" s="177" t="str">
        <f t="shared" si="38"/>
        <v/>
      </c>
      <c r="W51" s="177" t="str">
        <f t="shared" si="39"/>
        <v/>
      </c>
      <c r="X51" s="177" t="str">
        <f t="shared" si="40"/>
        <v/>
      </c>
      <c r="Y51" s="177" t="str">
        <f t="shared" si="41"/>
        <v/>
      </c>
      <c r="Z51" s="177" t="str">
        <f t="shared" si="42"/>
        <v/>
      </c>
      <c r="AA51" s="177" t="str">
        <f t="shared" si="43"/>
        <v/>
      </c>
      <c r="AB51" s="177" t="str">
        <f t="shared" si="44"/>
        <v/>
      </c>
      <c r="AD51" t="str">
        <f t="shared" si="45"/>
        <v>Period 3</v>
      </c>
      <c r="AE51" s="127" t="e">
        <f t="shared" si="46"/>
        <v>#VALUE!</v>
      </c>
      <c r="AF51" s="127" t="e">
        <f t="shared" si="47"/>
        <v>#VALUE!</v>
      </c>
      <c r="AG51" s="182" t="e">
        <f t="shared" si="48"/>
        <v>#VALUE!</v>
      </c>
      <c r="AI51" t="str">
        <f t="shared" si="49"/>
        <v>Period 3</v>
      </c>
      <c r="AJ51" s="127" t="e">
        <f t="shared" si="51"/>
        <v>#VALUE!</v>
      </c>
      <c r="AK51" s="182" t="e">
        <f t="shared" si="50"/>
        <v>#N/A</v>
      </c>
    </row>
    <row r="52" spans="4:37" x14ac:dyDescent="0.25">
      <c r="T52" s="177" t="str">
        <f>IF(OR($H$35="",$B$44&gt;0),"",IF(IF(E35&gt;=$H$35,F35-E35+1,F35-$H$35+1)&lt;0,0,IF(E35&gt;=$H$35,F35-E35+1,F35-$H$35+1)))</f>
        <v/>
      </c>
      <c r="U52" s="177" t="str">
        <f>IF(OR($H$36="",$B$44&gt;0),"",IF(IF(E35&gt;=$H$36,F35-E35+1,F35-$H$36+1)&lt;0,0,IF(E35&gt;=$H$36,F35-E35+1,F35-$H$36+1)))</f>
        <v/>
      </c>
      <c r="V52" s="177" t="str">
        <f t="shared" si="38"/>
        <v/>
      </c>
      <c r="W52" s="177" t="str">
        <f t="shared" si="39"/>
        <v/>
      </c>
      <c r="X52" s="177" t="str">
        <f t="shared" si="40"/>
        <v/>
      </c>
      <c r="Y52" s="177" t="str">
        <f t="shared" si="41"/>
        <v/>
      </c>
      <c r="Z52" s="177" t="str">
        <f t="shared" si="42"/>
        <v/>
      </c>
      <c r="AA52" s="177" t="str">
        <f t="shared" si="43"/>
        <v/>
      </c>
      <c r="AB52" s="177" t="str">
        <f t="shared" si="44"/>
        <v/>
      </c>
      <c r="AD52" t="str">
        <f t="shared" si="45"/>
        <v>Period 4</v>
      </c>
      <c r="AE52" s="127" t="e">
        <f t="shared" si="46"/>
        <v>#VALUE!</v>
      </c>
      <c r="AF52" s="127" t="e">
        <f t="shared" si="47"/>
        <v>#VALUE!</v>
      </c>
      <c r="AG52" s="182" t="e">
        <f t="shared" si="48"/>
        <v>#VALUE!</v>
      </c>
      <c r="AI52" t="str">
        <f t="shared" si="49"/>
        <v>Period 4</v>
      </c>
      <c r="AJ52" s="127" t="e">
        <f t="shared" si="51"/>
        <v>#VALUE!</v>
      </c>
      <c r="AK52" s="182" t="e">
        <f t="shared" si="50"/>
        <v>#N/A</v>
      </c>
    </row>
    <row r="53" spans="4:37" x14ac:dyDescent="0.25">
      <c r="D53" s="360" t="s">
        <v>430</v>
      </c>
      <c r="U53" s="177" t="str">
        <f>IF(OR($H$36="",$B$44&gt;0),"",IF(IF(E36&gt;=$H$36,F36-E36+1,F36-$H$36+1)&lt;0,0,IF(E36&gt;=$H$36,F36-E36+1,F36-$H$36+1)))</f>
        <v/>
      </c>
      <c r="V53" s="177" t="str">
        <f t="shared" si="38"/>
        <v/>
      </c>
      <c r="W53" s="177" t="str">
        <f t="shared" si="39"/>
        <v/>
      </c>
      <c r="X53" s="177" t="str">
        <f t="shared" si="40"/>
        <v/>
      </c>
      <c r="Y53" s="177" t="str">
        <f t="shared" si="41"/>
        <v/>
      </c>
      <c r="Z53" s="177" t="str">
        <f t="shared" si="42"/>
        <v/>
      </c>
      <c r="AA53" s="177" t="str">
        <f t="shared" si="43"/>
        <v/>
      </c>
      <c r="AB53" s="177" t="str">
        <f t="shared" si="44"/>
        <v/>
      </c>
      <c r="AD53" t="str">
        <f t="shared" si="45"/>
        <v>Period 5</v>
      </c>
      <c r="AE53" s="127" t="e">
        <f t="shared" si="46"/>
        <v>#VALUE!</v>
      </c>
      <c r="AF53" s="127" t="e">
        <f t="shared" si="47"/>
        <v>#VALUE!</v>
      </c>
      <c r="AG53" s="182" t="e">
        <f t="shared" si="48"/>
        <v>#VALUE!</v>
      </c>
      <c r="AI53" t="str">
        <f t="shared" si="49"/>
        <v>Period 5</v>
      </c>
      <c r="AJ53" s="127" t="e">
        <f t="shared" si="51"/>
        <v>#VALUE!</v>
      </c>
      <c r="AK53" s="182" t="e">
        <f t="shared" si="50"/>
        <v>#N/A</v>
      </c>
    </row>
    <row r="54" spans="4:37" x14ac:dyDescent="0.25">
      <c r="V54" s="177" t="str">
        <f t="shared" si="38"/>
        <v/>
      </c>
      <c r="W54" s="177" t="str">
        <f t="shared" si="39"/>
        <v/>
      </c>
      <c r="X54" s="177" t="str">
        <f t="shared" si="40"/>
        <v/>
      </c>
      <c r="Y54" s="177" t="str">
        <f t="shared" si="41"/>
        <v/>
      </c>
      <c r="Z54" s="177" t="str">
        <f t="shared" si="42"/>
        <v/>
      </c>
      <c r="AA54" s="177" t="str">
        <f t="shared" si="43"/>
        <v/>
      </c>
      <c r="AB54" s="177" t="str">
        <f t="shared" si="44"/>
        <v/>
      </c>
      <c r="AD54" t="str">
        <f t="shared" si="45"/>
        <v>Period 6</v>
      </c>
      <c r="AE54" s="127" t="e">
        <f t="shared" si="46"/>
        <v>#VALUE!</v>
      </c>
      <c r="AF54" s="127" t="e">
        <f t="shared" si="47"/>
        <v>#VALUE!</v>
      </c>
      <c r="AG54" s="182" t="e">
        <f t="shared" si="48"/>
        <v>#VALUE!</v>
      </c>
      <c r="AI54" t="str">
        <f t="shared" si="49"/>
        <v>Period 6</v>
      </c>
      <c r="AJ54" s="127" t="e">
        <f t="shared" si="51"/>
        <v>#VALUE!</v>
      </c>
      <c r="AK54" s="182" t="e">
        <f t="shared" si="50"/>
        <v>#N/A</v>
      </c>
    </row>
    <row r="55" spans="4:37" ht="75" x14ac:dyDescent="0.25">
      <c r="E55" s="115" t="s">
        <v>431</v>
      </c>
      <c r="F55" s="345" t="s">
        <v>432</v>
      </c>
      <c r="G55" s="345" t="s">
        <v>433</v>
      </c>
      <c r="H55" s="345" t="s">
        <v>434</v>
      </c>
      <c r="I55" s="345" t="s">
        <v>435</v>
      </c>
      <c r="W55" s="177" t="str">
        <f>IF(OR($H$38="",$B$44&gt;0),"",IF(IF(E38&gt;=$H$38,F38-E38+1,F38-$H$38+1)&lt;0,0,IF(E38&gt;=$H$38,F38-E38+1,F38-$H$38+1)))</f>
        <v/>
      </c>
      <c r="X55" s="177" t="str">
        <f>IF(OR($H$39="",$B$44&gt;0),"",IF(IF(E38&gt;=$H$39,F38-E38+1,F38-$H$39+1)&lt;0,0,IF(E38&gt;=$H$39,F38-E38+1,F38-$H$39+1)))</f>
        <v/>
      </c>
      <c r="Y55" s="177" t="str">
        <f>IF(OR($H$40="",$B$44&gt;0),"",IF(IF(E38&gt;=$H$40,F38-E38+1,F38-$H$40+1)&lt;0,0,IF(E38&gt;=$H$40,F38-E38+1,F38-$H$40+1)))</f>
        <v/>
      </c>
      <c r="Z55" s="177" t="str">
        <f>IF(OR($H$41="",$B$44&gt;0),"",IF(IF(E38&gt;=$H$41,F38-E38+1,F38-$H$41+1)&lt;0,0,IF(E38&gt;=$H$41,F38-E38+1,F38-$H$41+1)))</f>
        <v/>
      </c>
      <c r="AA55" s="177" t="str">
        <f>IF(OR($H$42="",$B$44&gt;0),"",IF(IF(E38&gt;=$H$42,F38-E38+1,F38-$H$42+1)&lt;0,0,IF(E38&gt;=$H$42,F38-E38+1,F38-$H$42+1)))</f>
        <v/>
      </c>
      <c r="AB55" s="177" t="str">
        <f t="shared" ref="AB55:AB60" si="52">IF(OR($H$43="",$B$44&gt;0),"",IF(IF(E38&gt;=$H$43,F38-E38+1,F38-$H$43+1)&lt;0,0,IF(E38&gt;=$H$43,F38-E38+1,F38-$H$43+1)))</f>
        <v/>
      </c>
      <c r="AD55" t="str">
        <f t="shared" ref="AD55:AD60" si="53">$D38</f>
        <v>Period 7</v>
      </c>
      <c r="AE55" s="127" t="e">
        <f t="shared" ref="AE55:AE60" si="54">DATE(YEAR(F38)-1,MONTH(F38),DAY(F38)+1)</f>
        <v>#VALUE!</v>
      </c>
      <c r="AF55" s="127" t="e">
        <f t="shared" ref="AF55:AF60" si="55">MIN(AE55,E38)</f>
        <v>#VALUE!</v>
      </c>
      <c r="AG55" s="182" t="e">
        <f t="shared" si="48"/>
        <v>#VALUE!</v>
      </c>
      <c r="AI55" t="str">
        <f t="shared" ref="AI55:AI60" si="56">$D38</f>
        <v>Period 7</v>
      </c>
      <c r="AJ55" s="127" t="e">
        <f t="shared" si="51"/>
        <v>#VALUE!</v>
      </c>
      <c r="AK55" s="182" t="e">
        <f t="shared" si="50"/>
        <v>#N/A</v>
      </c>
    </row>
    <row r="56" spans="4:37" x14ac:dyDescent="0.25">
      <c r="D56" s="126" t="s">
        <v>436</v>
      </c>
      <c r="E56" s="115">
        <v>2016</v>
      </c>
      <c r="F56" s="17" t="str">
        <f ca="1">IF(AND(I12&lt;=E56,I25&gt;0),"Yes","No")</f>
        <v>No</v>
      </c>
      <c r="G56" s="17" t="str">
        <f ca="1">IF(OR(F56="No",F56=""),"na",IF(I25&gt;183,"No","Yes"))</f>
        <v>na</v>
      </c>
      <c r="H56" s="17" t="str">
        <f ca="1">CONCATENATE(G56,G57)</f>
        <v>nana</v>
      </c>
      <c r="I56" s="17" t="str">
        <f ca="1">VLOOKUP(H56,$G$61:$H$69,2,FALSE)</f>
        <v>No</v>
      </c>
      <c r="J56" s="375">
        <f>E56</f>
        <v>2016</v>
      </c>
      <c r="X56" s="177" t="str">
        <f>IF(OR($H$39="",$B$44&gt;0),"",IF(IF(E39&gt;=$H$39,F39-E39+1,F39-$H$39+1)&lt;0,0,IF(E39&gt;=$H$39,F39-E39+1,F39-$H$39+1)))</f>
        <v/>
      </c>
      <c r="Y56" s="177" t="str">
        <f>IF(OR($H$40="",$B$44&gt;0),"",IF(IF(E39&gt;=$H$40,F39-E39+1,F39-$H$40+1)&lt;0,0,IF(E39&gt;=$H$40,F39-E39+1,F39-$H$40+1)))</f>
        <v/>
      </c>
      <c r="Z56" s="177" t="str">
        <f>IF(OR($H$41="",$B$44&gt;0),"",IF(IF(E39&gt;=$H$41,F39-E39+1,F39-$H$41+1)&lt;0,0,IF(E39&gt;=$H$41,F39-E39+1,F39-$H$41+1)))</f>
        <v/>
      </c>
      <c r="AA56" s="177" t="str">
        <f>IF(OR($H$42="",$B$44&gt;0),"",IF(IF(E39&gt;=$H$42,F39-E39+1,F39-$H$42+1)&lt;0,0,IF(E39&gt;=$H$42,F39-E39+1,F39-$H$42+1)))</f>
        <v/>
      </c>
      <c r="AB56" s="177" t="str">
        <f t="shared" si="52"/>
        <v/>
      </c>
      <c r="AD56" t="str">
        <f t="shared" si="53"/>
        <v>Period 8</v>
      </c>
      <c r="AE56" s="127" t="e">
        <f t="shared" si="54"/>
        <v>#VALUE!</v>
      </c>
      <c r="AF56" s="127" t="e">
        <f t="shared" si="55"/>
        <v>#VALUE!</v>
      </c>
      <c r="AG56" s="182" t="e">
        <f t="shared" si="48"/>
        <v>#VALUE!</v>
      </c>
      <c r="AI56" t="str">
        <f t="shared" si="56"/>
        <v>Period 8</v>
      </c>
      <c r="AJ56" s="127" t="e">
        <f t="shared" si="51"/>
        <v>#VALUE!</v>
      </c>
      <c r="AK56" s="182" t="e">
        <f t="shared" si="50"/>
        <v>#N/A</v>
      </c>
    </row>
    <row r="57" spans="4:37" x14ac:dyDescent="0.25">
      <c r="D57" s="126" t="s">
        <v>437</v>
      </c>
      <c r="E57" s="115">
        <v>2017</v>
      </c>
      <c r="F57" s="17" t="str">
        <f ca="1">IF(AND(J12&gt;=E57,J25&gt;0),"Yes","No")</f>
        <v>No</v>
      </c>
      <c r="G57" s="17" t="str">
        <f ca="1">IF(OR(F57="No",F57=""),"na",IF(E4&gt;183,"No","Yes"))</f>
        <v>na</v>
      </c>
      <c r="H57" s="363"/>
      <c r="I57" s="364"/>
      <c r="J57" s="375">
        <f>E57</f>
        <v>2017</v>
      </c>
      <c r="Y57" s="177" t="str">
        <f>IF(OR($H$40="",$B$44&gt;0),"",IF(IF(E40&gt;=$H$40,F40-E40+1,F40-$H$40+1)&lt;0,0,IF(E40&gt;=$H$40,F40-E40+1,F40-$H$40+1)))</f>
        <v/>
      </c>
      <c r="Z57" s="177" t="str">
        <f>IF(OR($H$41="",$B$44&gt;0),"",IF(IF(E40&gt;=$H$41,F40-E40+1,F40-$H$41+1)&lt;0,0,IF(E40&gt;=$H$41,F40-E40+1,F40-$H$41+1)))</f>
        <v/>
      </c>
      <c r="AA57" s="177" t="str">
        <f>IF(OR($H$42="",$B$44&gt;0),"",IF(IF(E40&gt;=$H$42,F40-E40+1,F40-$H$42+1)&lt;0,0,IF(E40&gt;=$H$42,F40-E40+1,F40-$H$42+1)))</f>
        <v/>
      </c>
      <c r="AB57" s="177" t="str">
        <f t="shared" si="52"/>
        <v/>
      </c>
      <c r="AD57" t="str">
        <f t="shared" si="53"/>
        <v>Period 9</v>
      </c>
      <c r="AE57" s="127" t="e">
        <f t="shared" si="54"/>
        <v>#VALUE!</v>
      </c>
      <c r="AF57" s="127" t="e">
        <f t="shared" si="55"/>
        <v>#VALUE!</v>
      </c>
      <c r="AG57" s="182" t="e">
        <f t="shared" si="48"/>
        <v>#VALUE!</v>
      </c>
      <c r="AI57" t="str">
        <f t="shared" si="56"/>
        <v>Period 9</v>
      </c>
      <c r="AJ57" s="127" t="e">
        <f t="shared" si="51"/>
        <v>#VALUE!</v>
      </c>
      <c r="AK57" s="182" t="e">
        <f t="shared" si="50"/>
        <v>#N/A</v>
      </c>
    </row>
    <row r="58" spans="4:37" x14ac:dyDescent="0.25">
      <c r="Z58" s="177" t="str">
        <f>IF(OR($H$41="",$B$44&gt;0),"",IF(IF(E41&gt;=$H$41,F41-E41+1,F41-$H$41+1)&lt;0,0,IF(E41&gt;=$H$41,F41-E41+1,F41-$H$41+1)))</f>
        <v/>
      </c>
      <c r="AA58" s="177" t="str">
        <f>IF(OR($H$42="",$B$44&gt;0),"",IF(IF(E41&gt;=$H$42,F41-E41+1,F41-$H$42+1)&lt;0,0,IF(E41&gt;=$H$42,F41-E41+1,F41-$H$42+1)))</f>
        <v/>
      </c>
      <c r="AB58" s="177" t="str">
        <f t="shared" si="52"/>
        <v/>
      </c>
      <c r="AD58" t="str">
        <f t="shared" si="53"/>
        <v>Period 10</v>
      </c>
      <c r="AE58" s="127" t="e">
        <f t="shared" si="54"/>
        <v>#VALUE!</v>
      </c>
      <c r="AF58" s="127" t="e">
        <f t="shared" si="55"/>
        <v>#VALUE!</v>
      </c>
      <c r="AG58" s="182" t="e">
        <f t="shared" si="48"/>
        <v>#VALUE!</v>
      </c>
      <c r="AI58" t="str">
        <f t="shared" si="56"/>
        <v>Period 10</v>
      </c>
      <c r="AJ58" s="127" t="e">
        <f t="shared" si="51"/>
        <v>#VALUE!</v>
      </c>
      <c r="AK58" s="182" t="e">
        <f t="shared" si="50"/>
        <v>#N/A</v>
      </c>
    </row>
    <row r="59" spans="4:37" x14ac:dyDescent="0.25">
      <c r="I59" s="512" t="s">
        <v>438</v>
      </c>
      <c r="J59" s="513"/>
      <c r="AA59" s="177" t="str">
        <f>IF(OR($H$42="",$B$44&gt;0),"",IF(IF(E42&gt;=$H$42,F42-E42+1,F42-$H$42+1)&lt;0,0,IF(E42&gt;=$H$42,F42-E42+1,F42-$H$42+1)))</f>
        <v/>
      </c>
      <c r="AB59" s="177" t="str">
        <f t="shared" si="52"/>
        <v/>
      </c>
      <c r="AD59" t="str">
        <f t="shared" si="53"/>
        <v>Period 11</v>
      </c>
      <c r="AE59" s="127" t="e">
        <f t="shared" si="54"/>
        <v>#VALUE!</v>
      </c>
      <c r="AF59" s="127" t="e">
        <f t="shared" si="55"/>
        <v>#VALUE!</v>
      </c>
      <c r="AG59" s="182" t="e">
        <f t="shared" si="48"/>
        <v>#VALUE!</v>
      </c>
      <c r="AI59" t="str">
        <f t="shared" si="56"/>
        <v>Period 11</v>
      </c>
      <c r="AJ59" s="127" t="e">
        <f>IF(AE59="","",DATE(YEAR(AG59)+1,MONTH(AG59),DAY(AG59)-1))</f>
        <v>#VALUE!</v>
      </c>
      <c r="AK59" s="182" t="e">
        <f t="shared" si="50"/>
        <v>#N/A</v>
      </c>
    </row>
    <row r="60" spans="4:37" x14ac:dyDescent="0.25">
      <c r="E60" s="361">
        <v>2016</v>
      </c>
      <c r="F60" s="361" t="s">
        <v>439</v>
      </c>
      <c r="G60" s="361" t="s">
        <v>434</v>
      </c>
      <c r="H60" s="361" t="s">
        <v>329</v>
      </c>
      <c r="I60" s="361" t="s">
        <v>440</v>
      </c>
      <c r="J60" s="361" t="s">
        <v>441</v>
      </c>
      <c r="AB60" s="177" t="str">
        <f t="shared" si="52"/>
        <v/>
      </c>
      <c r="AD60" t="str">
        <f t="shared" si="53"/>
        <v>Period 12</v>
      </c>
      <c r="AE60" s="127" t="e">
        <f t="shared" si="54"/>
        <v>#VALUE!</v>
      </c>
      <c r="AF60" s="127" t="e">
        <f t="shared" si="55"/>
        <v>#VALUE!</v>
      </c>
      <c r="AG60" s="182" t="e">
        <f t="shared" si="48"/>
        <v>#VALUE!</v>
      </c>
      <c r="AI60" t="str">
        <f t="shared" si="56"/>
        <v>Period 12</v>
      </c>
      <c r="AJ60" s="127" t="e">
        <f>IF(AE60="","",DATE(YEAR(AG60)+1,MONTH(AG60),DAY(AG60)-1))</f>
        <v>#VALUE!</v>
      </c>
      <c r="AK60" s="182" t="e">
        <f t="shared" si="50"/>
        <v>#N/A</v>
      </c>
    </row>
    <row r="61" spans="4:37" ht="15.75" thickBot="1" x14ac:dyDescent="0.3">
      <c r="E61" s="376" t="s">
        <v>8</v>
      </c>
      <c r="F61" s="362" t="s">
        <v>8</v>
      </c>
      <c r="G61" s="362" t="str">
        <f t="shared" ref="G61:G69" si="57">CONCATENATE(E61,F61)</f>
        <v>YesYes</v>
      </c>
      <c r="H61" s="362" t="s">
        <v>442</v>
      </c>
      <c r="I61" s="362">
        <v>2017</v>
      </c>
      <c r="J61" s="362">
        <v>2016</v>
      </c>
      <c r="P61" s="131" t="s">
        <v>402</v>
      </c>
      <c r="Q61" s="137">
        <f t="shared" ref="Q61:AB61" si="58">SUM(Q49:Q60)</f>
        <v>0</v>
      </c>
      <c r="R61" s="137">
        <f t="shared" si="58"/>
        <v>0</v>
      </c>
      <c r="S61" s="137">
        <f t="shared" si="58"/>
        <v>0</v>
      </c>
      <c r="T61" s="137">
        <f t="shared" si="58"/>
        <v>0</v>
      </c>
      <c r="U61" s="137">
        <f t="shared" si="58"/>
        <v>0</v>
      </c>
      <c r="V61" s="137">
        <f t="shared" si="58"/>
        <v>0</v>
      </c>
      <c r="W61" s="137">
        <f t="shared" si="58"/>
        <v>0</v>
      </c>
      <c r="X61" s="137">
        <f t="shared" si="58"/>
        <v>0</v>
      </c>
      <c r="Y61" s="137">
        <f t="shared" si="58"/>
        <v>0</v>
      </c>
      <c r="Z61" s="137">
        <f t="shared" si="58"/>
        <v>0</v>
      </c>
      <c r="AA61" s="137">
        <f t="shared" si="58"/>
        <v>0</v>
      </c>
      <c r="AB61" s="137">
        <f t="shared" si="58"/>
        <v>0</v>
      </c>
    </row>
    <row r="62" spans="4:37" ht="15.75" thickTop="1" x14ac:dyDescent="0.25">
      <c r="E62" s="362" t="s">
        <v>9</v>
      </c>
      <c r="F62" s="362" t="s">
        <v>9</v>
      </c>
      <c r="G62" s="362" t="str">
        <f t="shared" si="57"/>
        <v>NoNo</v>
      </c>
      <c r="H62" s="362" t="s">
        <v>9</v>
      </c>
      <c r="I62" s="362"/>
      <c r="J62" s="362"/>
    </row>
    <row r="63" spans="4:37" x14ac:dyDescent="0.25">
      <c r="E63" s="376" t="s">
        <v>8</v>
      </c>
      <c r="F63" s="362" t="s">
        <v>9</v>
      </c>
      <c r="G63" s="362" t="str">
        <f t="shared" si="57"/>
        <v>YesNo</v>
      </c>
      <c r="H63" s="362" t="s">
        <v>442</v>
      </c>
      <c r="I63" s="362">
        <v>2016</v>
      </c>
      <c r="J63" s="362">
        <v>2017</v>
      </c>
    </row>
    <row r="64" spans="4:37" x14ac:dyDescent="0.25">
      <c r="E64" s="362" t="s">
        <v>9</v>
      </c>
      <c r="F64" s="362" t="s">
        <v>8</v>
      </c>
      <c r="G64" s="362" t="str">
        <f t="shared" si="57"/>
        <v>NoYes</v>
      </c>
      <c r="H64" s="362" t="s">
        <v>442</v>
      </c>
      <c r="I64" s="362">
        <v>2017</v>
      </c>
      <c r="J64" s="362">
        <v>2016</v>
      </c>
    </row>
    <row r="65" spans="5:10" x14ac:dyDescent="0.25">
      <c r="E65" s="362" t="s">
        <v>443</v>
      </c>
      <c r="F65" s="362" t="s">
        <v>8</v>
      </c>
      <c r="G65" s="362" t="str">
        <f t="shared" si="57"/>
        <v>naYes</v>
      </c>
      <c r="H65" s="362" t="s">
        <v>8</v>
      </c>
      <c r="I65" s="362"/>
      <c r="J65" s="362"/>
    </row>
    <row r="66" spans="5:10" x14ac:dyDescent="0.25">
      <c r="E66" s="376" t="s">
        <v>8</v>
      </c>
      <c r="F66" s="362" t="s">
        <v>443</v>
      </c>
      <c r="G66" s="362" t="str">
        <f t="shared" si="57"/>
        <v>Yesna</v>
      </c>
      <c r="H66" s="362" t="s">
        <v>8</v>
      </c>
      <c r="I66" s="362"/>
      <c r="J66" s="362"/>
    </row>
    <row r="67" spans="5:10" x14ac:dyDescent="0.25">
      <c r="E67" s="362" t="s">
        <v>443</v>
      </c>
      <c r="F67" s="362" t="s">
        <v>9</v>
      </c>
      <c r="G67" s="362" t="str">
        <f t="shared" si="57"/>
        <v>naNo</v>
      </c>
      <c r="H67" s="362" t="s">
        <v>9</v>
      </c>
      <c r="I67" s="362"/>
      <c r="J67" s="362"/>
    </row>
    <row r="68" spans="5:10" x14ac:dyDescent="0.25">
      <c r="E68" s="362" t="s">
        <v>9</v>
      </c>
      <c r="F68" s="362" t="s">
        <v>443</v>
      </c>
      <c r="G68" s="362" t="str">
        <f t="shared" si="57"/>
        <v>Nona</v>
      </c>
      <c r="H68" s="362" t="s">
        <v>9</v>
      </c>
      <c r="I68" s="362"/>
      <c r="J68" s="362"/>
    </row>
    <row r="69" spans="5:10" x14ac:dyDescent="0.25">
      <c r="E69" s="362" t="s">
        <v>443</v>
      </c>
      <c r="F69" s="362" t="s">
        <v>443</v>
      </c>
      <c r="G69" s="362" t="str">
        <f t="shared" si="57"/>
        <v>nana</v>
      </c>
      <c r="H69" s="362" t="s">
        <v>9</v>
      </c>
      <c r="I69" s="362"/>
      <c r="J69" s="362"/>
    </row>
  </sheetData>
  <sheetProtection password="F5F4" sheet="1"/>
  <mergeCells count="3">
    <mergeCell ref="G11:H11"/>
    <mergeCell ref="I11:J11"/>
    <mergeCell ref="I59:J59"/>
  </mergeCells>
  <phoneticPr fontId="46" type="noConversion"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Uk/2lqR1crjO7JP+MdDyJwxycocdIyWiOn7l1HoPC/8=</DigestValue>
    </Reference>
    <Reference Type="http://www.w3.org/2000/09/xmldsig#Object" URI="#idOfficeObject">
      <DigestMethod Algorithm="http://www.w3.org/2001/04/xmlenc#sha256"/>
      <DigestValue>KRHQZ/Z2cpJiEvlSeuOtjM0PSTWnJ/e2l2R4Awq9Crs=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XppD7BtPL9FGnL3RiSjuD6C/3HZrQl29/W88gacvS04=</DigestValue>
    </Reference>
  </SignedInfo>
  <SignatureValue>Sku/rrP0ZOg9D8PuftRl9HvgOYLX3r5WtCS1xIrnCUaXVY5KlEvzzY6Dzo85md7JuIFE27/muSbo
fT/i3IBvAdj9TqkCrw1uScswIoHeJpWCexkQi32QWLHGLDXn/AYwpnCUPcdW4/hT2diKXYttiAo3
jvz7u7wyqshviWjjkQ+UjJHRati2I7+Q5kAQJ/VZ57q4BvapRY+CuOylvMPaEOe7za06qDNHNkzO
V+yjXOCBqteOWEE90hDcQDVobFwTM0C04WQFNfZTJamy+j8JncHJbt4Tq3HhOnDF1cJ6edndhBly
Cos9od7H1WdTf94Uztg9TvK3f0Z0RhpBLseHnQ==</SignatureValue>
  <KeyInfo>
    <X509Data>
      <X509Certificate>MIIFzTCCBLWgAwIBAgIQTGKEg+rE56qxhckmkvJpwTANBgkqhkiG9w0BAQsFADCBtzELMAkGA1UEBhMCVVMxFjAUBgNVBAoTDUVudHJ1c3QsIEluYy4xKDAmBgNVBAsTH1NlZSB3d3cuZW50cnVzdC5uZXQvbGVnYWwtdGVybXMxOTA3BgNVBAsTMChjKSAyMDE1IEVudHJ1c3QsIEluYy4gLSBmb3IgYXV0aG9yaXplZCB1c2Ugb25seTErMCkGA1UEAxMiRW50cnVzdCBDbGFzcyAzIENsaWVudCBDQSAtIFNIQTI1NjAeFw0yNDA1MjgwOTM2MTlaFw0yNzA3MDcwOTM2MThaMIHEMQswCQYDVQQGEwJTRzESMBAGA1UEBxMJU2luZ2Fwb3JlMS4wLAYDVQQKEyVJbmxhbmQgUmV2ZW51ZSBBdXRob3JpdHkgb2YgU2luZ2Fwb3JlMSAwHgYDVQQLExdJUkFTLSBJTkZPQ09NTSBESVZJU0lPTjEuMCwGA1UEAxMlSW5sYW5kIFJldmVudWUgQXV0aG9yaXR5IG9mIFNpbmdhcG9yZTEfMB0GCSqGSIb3DQEJARYQaXJhc0BpcmFzLmdvdi5zZzCCASIwDQYJKoZIhvcNAQEBBQADggEPADCCAQoCggEBAOJOaZpPY+2nJfxRuGUXR/rXgWQ9TTe+NwHwho//aFl0pXHujY9Mf5z8jE/kvmdiwasu0OU2zYRmfOybTtbfHOm2jmXHZdOwZDt1Ttqbh6fCxjVFsUoJ0kDqOazuWUEGL8OfQypc0lAr0pF3S8RiXOOi8jCInKx2AMhc67rXaXjJAuqEyGt3CG7NcZbrJHoiY6F1/T1tWFE/ylnxGpWRUi4aVIAzBwEXHpJyV5zfRDNt48NK7BXpsEo+JmA6NFNC+YvHySqh9yAolJGPO0xlUCLO+w+dyYN7dFCTDobSYuzUEm1SeJmGQO+qTksPHxJg3ZNQBEYNSVFE+RHK8IR2rFsCAwEAAaOCAcQwggHAMAwGA1UdEwEB/wQCMAAwHQYDVR0OBBYEFMKsJ5C5Q4hrrTPvNwi2DtMsHLGtMB8GA1UdIwQYMBaAFAafb06iKU4PDK4Xv7aYRu+tuDtyMGcGCCsGAQUFBwEBBFswWTAjBggrBgEFBQcwAYYXaHR0cDovL29jc3AuZW50cnVzdC5uZXQwMgYIKwYBBQUHMAKGJmh0dHA6Ly9haWEuZW50cnVzdC5uZXQvY2xhc3MzLTIwNDguY2VyMDcGA1UdHwQwMC4wLKAqoCiGJmh0dHA6Ly9jcmwuZW50cnVzdC5uZXQvY2xhc3MzLXNoYTIuY3JsMA4GA1UdDwEB/wQEAwIGwDAgBgNVHSUEGTAXBglghkgBhvprKAsGCisGAQQBgjcKAwwwQwYKKoZIhvcvAQEJAQQ1MDMCAQGGLmh0dHA6Ly90aW1lc3RhbXAuZW50cnVzdC5uZXQvVFNTL1JGQzMxNjFzaGEyVFMwEwYKKoZIhvcvAQEJAgQFMAMCAQEwQgYDVR0gBDswOTA3BgpghkgBhvpsCgEGMCkwJwYIKwYBBQUHAgEWG2h0dHBzOi8vd3d3LmVudHJ1c3QubmV0L3JwYTANBgkqhkiG9w0BAQsFAAOCAQEAPXCEo7rpWYCiGd7cpYRUrLu5TYskcMudz1ZgjJKipCrnPWc+Um7pxKj59cs73zSrD+SxI9Oym6wdvQo6qQluLdiTYNrCthVStb6TD8EjUg9SQdQd2xqpuiZlIc4zU7xNrYUm5YC/598CiYW61xI5L6WK3zFkJLoTDUg6S8fgs5KXPB5FmDQVYp3lLX3YMPNT0zI8N1fcjPHLU4n4b3bc5icm2MgGzL0B+2eufQ5tWf/6Av0QkfdjUythpEU/xX8swX6LOqrVVXz9qE3XP4KyIoZpsHf1GzsQQeOTOZ0zdXh4opd8qQUkPay6bSgpQdu7wm/suUNhRMYqvZf1OAxT6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jnkO1F5kZcO8AATKYDfjwinwYvF1Eg8d3NY6+OQyyOQ=</DigestValue>
      </Reference>
      <Reference URI="/xl/calcChain.xml?ContentType=application/vnd.openxmlformats-officedocument.spreadsheetml.calcChain+xml">
        <DigestMethod Algorithm="http://www.w3.org/2001/04/xmlenc#sha256"/>
        <DigestValue>sXbzcky446/gr+GutClpCFGl3iYgfzNmPSzP4i0lJsA=</DigestValue>
      </Reference>
      <Reference URI="/xl/sharedStrings.xml?ContentType=application/vnd.openxmlformats-officedocument.spreadsheetml.sharedStrings+xml">
        <DigestMethod Algorithm="http://www.w3.org/2001/04/xmlenc#sha256"/>
        <DigestValue>SSeyqcLVK+6s2FOSkUlv+qxMx9fUNulUtAO62rSTIR4=</DigestValue>
      </Reference>
      <Reference URI="/xl/styles.xml?ContentType=application/vnd.openxmlformats-officedocument.spreadsheetml.styles+xml">
        <DigestMethod Algorithm="http://www.w3.org/2001/04/xmlenc#sha256"/>
        <DigestValue>9bHzwdLzEoCz9DCMMWNWkbnnjXMEhOIH3+GA5Df66jI=</DigestValue>
      </Reference>
      <Reference URI="/xl/theme/theme1.xml?ContentType=application/vnd.openxmlformats-officedocument.theme+xml">
        <DigestMethod Algorithm="http://www.w3.org/2001/04/xmlenc#sha256"/>
        <DigestValue>TG2INX02lfOQAdcSZ0mz1vgZ+I3vxMMRQJPkWwqFVjY=</DigestValue>
      </Reference>
      <Reference URI="/xl/workbook.xml?ContentType=application/vnd.openxmlformats-officedocument.spreadsheetml.sheet.main+xml">
        <DigestMethod Algorithm="http://www.w3.org/2001/04/xmlenc#sha256"/>
        <DigestValue>TlMq9l/VKFeQWAUyleDLQ9G1GDWCnRuG+lJRoI848ZM=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YakolCrvKHxGp/ZmJj1hEetuZg8blDfa/OybPc6O6XI=</DigestValue>
      </Reference>
      <Reference URI="/xl/worksheets/sheet1.xml?ContentType=application/vnd.openxmlformats-officedocument.spreadsheetml.worksheet+xml">
        <DigestMethod Algorithm="http://www.w3.org/2001/04/xmlenc#sha256"/>
        <DigestValue>hIkXHjz6rovKmE08wJpMGkRnZwDGImPhmo2F+qsjgoQ=</DigestValue>
      </Reference>
      <Reference URI="/xl/worksheets/sheet2.xml?ContentType=application/vnd.openxmlformats-officedocument.spreadsheetml.worksheet+xml">
        <DigestMethod Algorithm="http://www.w3.org/2001/04/xmlenc#sha256"/>
        <DigestValue>qk+FCoIYY2iDaPlLh/o8jZgZTaG4dtMBF/0YBdcBjtQ=</DigestValue>
      </Reference>
      <Reference URI="/xl/worksheets/sheet3.xml?ContentType=application/vnd.openxmlformats-officedocument.spreadsheetml.worksheet+xml">
        <DigestMethod Algorithm="http://www.w3.org/2001/04/xmlenc#sha256"/>
        <DigestValue>GhQRJ94auHprEarS29tOgaXIAUfS4wOcpKHlfGq5SaA=</DigestValue>
      </Reference>
      <Reference URI="/xl/worksheets/sheet4.xml?ContentType=application/vnd.openxmlformats-officedocument.spreadsheetml.worksheet+xml">
        <DigestMethod Algorithm="http://www.w3.org/2001/04/xmlenc#sha256"/>
        <DigestValue>sKmonZ/9ocQXIsgeWu9EpzcFBL1E4u9tb9MvTa8/kuU=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2026-10-26T08:20:38Z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1600</HorizontalResolution>
          <VerticalResolution>900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  <SignatureInfoV2 xmlns="http://schemas.microsoft.com/office/2006/digsig">
          <Address1>55 NEWTON RD, REVENUE HOUSE</Address1>
          <Address2/>
        </SignatureInfoV2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2026-10-26T08:20:38Z</xd:SigningTime>
          <xd:SigningCertificate>
            <xd:Cert>
              <xd:CertDigest>
                <DigestMethod Algorithm="http://www.w3.org/2001/04/xmlenc#sha256"/>
                <DigestValue>1OL+co2axBa3LFE5AmRjF8nkkJMN9dWHsWk+S0ejSyo=</DigestValue>
              </xd:CertDigest>
              <xd:IssuerSerial>
                <X509IssuerName>CN=Entrust Class 3 Client CA - SHA256, OU="(c) 2015 Entrust, Inc. - for authorized use only", OU=See www.entrust.net/legal-terms, O="Entrust, Inc.", C=US</X509IssuerName>
                <X509SerialNumber>101532860501404526611644611315633383873</X509SerialNumber>
              </xd:IssuerSerial>
            </xd:Cert>
          </xd:SigningCertificate>
          <xd:SignaturePolicyIdentifier>
            <xd:SignaturePolicyImplied/>
          </xd:SignaturePolicyIdentifier>
          <xd:SignatureProductionPlace>
            <xd:City>SINGAPORE</xd:City>
            <xd:StateOrProvince/>
            <xd:PostalCode>307987</xd:PostalCode>
            <xd:CountryName>SINGAPORE</xd:CountryName>
          </xd:SignatureProductionPlace>
          <xd:SignerRole>
            <xd:ClaimedRoles>
              <xd:ClaimedRole>IRAS@IRAS.GOV.SG</xd:ClaimedRole>
            </xd:ClaimedRoles>
          </xd:SignerRole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FOTCCBCGgAwIBAgIMVRYVFQAAAABRzhYOMA0GCSqGSIb3DQEBCwUAMIG0MRQwEgYDVQQKEwtFbnRydXN0Lm5ldDFAMD4GA1UECxQ3d3d3LmVudHJ1c3QubmV0L0NQU18yMDQ4IGluY29ycC4gYnkgcmVmLiAobGltaXRzIGxpYWIuKTElMCMGA1UECxMcKGMpIDE5OTkgRW50cnVzdC5uZXQgTGltaXRlZDEzMDEGA1UEAxMqRW50cnVzdC5uZXQgQ2VydGlmaWNhdGlvbiBBdXRob3JpdHkgKDIwNDgpMB4XDTE2MDIyNTE4MDgxNloXDTI5MDYyNTE4MzgxNlowgbcxCzAJBgNVBAYTAlVTMRYwFAYDVQQKEw1FbnRydXN0LCBJbmMuMSgwJgYDVQQLEx9TZWUgd3d3LmVudHJ1c3QubmV0L2xlZ2FsLXRlcm1zMTkwNwYDVQQLEzAoYykgMjAxNSBFbnRydXN0LCBJbmMuIC0gZm9yIGF1dGhvcml6ZWQgdXNlIG9ubHkxKzApBgNVBAMTIkVudHJ1c3QgQ2xhc3MgMyBDbGllbnQgQ0EgLSBTSEEyNTYwggEiMA0GCSqGSIb3DQEBAQUAA4IBDwAwggEKAoIBAQDGnEvBT0qd2X3TO1eRq83pdhUtwCAvLDGGxQk9sB+RhJhDlS7UnqraVeLgYOi7B+/Lg+0uXxny0CjtOmQ/y64wYCHmZqtYTmJndk5SjNx7mEQODi2QULUh+42xza8hByWXz7oPGEcZTnHLabj6I20aBhE1wVa6n2Ih8bDxAY9ez/EiosFCDvXNMugrJ/SSbwsVXvz6aVKwjn6ky3W5RYS1kwMLcitAs25DQqETGRhkRNSmIAlFsDpkD1b95IUojrjUOCPHLuKw+5r7GjiBkzLnLR+ujjcXzvzCFD993yTsseygqo4jBIEce68pztTn1OFm6W5k6eEFsiqRmHBY2PILAgMBAAGjggFEMIIBQDAOBgNVHQ8BAf8EBAMCAQYwNAYDVR0lBC0wKwYIKwYBBQUHAwIGCCsGAQUFBwMEBgorBgEEAYI3CgMMBglghkgBhvprKAswOwYDVR0gBDQwMjAwBgRVHSAAMCgwJgYIKwYBBQUHAgEWGmh0dHA6Ly93d3cuZW50cnVzdC5uZXQvcnBhMBIGA1UdEwEB/wQIMAYBAf8CAQAwMwYIKwYBBQUHAQEEJzAlMCMGCCsGAQUFBzABhhdodHRwOi8vb2NzcC5lbnRydXN0Lm5ldDAyBgNVHR8EKzApMCegJaAjhiFodHRwOi8vY3JsLmVudHJ1c3QubmV0LzIwNDhjYS5jcmwwHQYDVR0OBBYEFAafb06iKU4PDK4Xv7aYRu+tuDtyMB8GA1UdIwQYMBaAFFXkgdERgL7YibkIozH5oSQJFrlwMA0GCSqGSIb3DQEBCwUAA4IBAQB8eBvEzfG7ciGMiBdPtSqio/2dh+DXHDyC2Z6Vkzd305spuLwA0olAKJKZgKFM804XffTDY4zCTvY3sX9gMvHUk1utlt2Kt8KPDfFLrfxL21sNyj79WG99p7vrzVlsO+8AFZU2AdTLPLVjz9/Tmqr5RRKyq4IPZg0uaAM4+m6VIOceWnYEI2A9S+XpEHWqF9vbCevuF0iLnZalaqPdTBkfYkAuD/T6AOZabkbolo2bjssLzYsHOZExFCFu37kJZTw/JaDlC7o6A0r0QaZojaXqYM0jSfppwIWH58keRNVFyBIApO0GmIpBSieh8hZlo1X6K0yukH+M53cikOr4IS/F</xd:EncapsulatedX509Certificate>
            <xd:EncapsulatedX509Certificate>MIIEKjCCAxKgAwIBAgIEOGPe+DANBgkqhkiG9w0BAQUFADCBtDEUMBIGA1UEChMLRW50cnVzdC5uZXQxQDA+BgNVBAsUN3d3dy5lbnRydXN0Lm5ldC9DUFNfMjA0OCBpbmNvcnAuIGJ5IHJlZi4gKGxpbWl0cyBsaWFiLikxJTAjBgNVBAsTHChjKSAxOTk5IEVudHJ1c3QubmV0IExpbWl0ZWQxMzAxBgNVBAMTKkVudHJ1c3QubmV0IENlcnRpZmljYXRpb24gQXV0aG9yaXR5ICgyMDQ4KTAeFw05OTEyMjQxNzUwNTFaFw0yOTA3MjQxNDE1MTJaMIG0MRQwEgYDVQQKEwtFbnRydXN0Lm5ldDFAMD4GA1UECxQ3d3d3LmVudHJ1c3QubmV0L0NQU18yMDQ4IGluY29ycC4gYnkgcmVmLiAobGltaXRzIGxpYWIuKTElMCMGA1UECxMcKGMpIDE5OTkgRW50cnVzdC5uZXQgTGltaXRlZDEzMDEGA1UEAxMqRW50cnVzdC5uZXQgQ2VydGlmaWNhdGlvbiBBdXRob3JpdHkgKDIwNDgpMIIBIjANBgkqhkiG9w0BAQEFAAOCAQ8AMIIBCgKCAQEArU1LqRKGsuqjIAcVFmQqK0vRvwtKTY7tgHalZ7d4QMBzQshowNtTK91euHaYNZOLGp18EzoOH1u3Hs/lJBQesYGpjX24zGtLA/ECDNyrpUAkAH90lKGdCCmziAv1h3edVc3kw37XamSrhRSGlVuXMlBvPci6Zgzj/L24ScF2iUkZ/cCovYmjZy/Gn7xxGWC4LeksyZB2ZnuU4q941mVTXTzWnLLPKQP5L6RQstRIzgUyVYr9smRMDuSYB3Xbf9+5CFVghTAp+XtIpGmG4zU/HoZdenoVve8AjhUiVBcAkCaTvA5JaJG/+EfTnZVCwQ5N328mz8MYIWJmQ3DW1cAH4QIDAQABo0IwQDAOBgNVHQ8BAf8EBAMCAQYwDwYDVR0TAQH/BAUwAwEB/zAdBgNVHQ4EFgQUVeSB0RGAvtiJuQijMfmhJAkWuXAwDQYJKoZIhvcNAQEFBQADggEBADubj1abMOdTmXx6eadNl9cZlZD7Bh/KM3xGY4+WZiT6QBshJ8rmcnPyT/4xmf3IDExoU8aAghOY+rat2l098c5u9hURlIIM7j+VrxGrD9cv3h8Dj1csHsm7mhpElesYT6YfzX1XEC+bBAlahLVu2B064dae0Wx5XnkcFMXj0EyTO2U87d89vqbllRrDtRnDvV5bu/8j72gZyxKTJ1wDLW8w0B62GqzeWvfRqqgnpv55gcR5mTNXuhKwqeBCbJPKVt7+bYQLCIt+jerXmCHG8+c8eS9enNFMFY3h7CI3zJpDC5fcgJCNs2ebb0gIFVbPv/ErfF6adulZkMV8gzURZVE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CD91C384FF2146BB98A616420EA244" ma:contentTypeVersion="20" ma:contentTypeDescription="Create a new document." ma:contentTypeScope="" ma:versionID="31866ad0b70258c46f415a82b047a285">
  <xsd:schema xmlns:xsd="http://www.w3.org/2001/XMLSchema" xmlns:xs="http://www.w3.org/2001/XMLSchema" xmlns:p="http://schemas.microsoft.com/office/2006/metadata/properties" xmlns:ns1="http://schemas.microsoft.com/sharepoint/v3" xmlns:ns2="88a6a153-49cb-47b7-a685-3875533540c1" xmlns:ns3="936906ec-1363-406d-a4a3-425a77224731" targetNamespace="http://schemas.microsoft.com/office/2006/metadata/properties" ma:root="true" ma:fieldsID="d348f63fead1a6438e284836a527fe3d" ns1:_="" ns2:_="" ns3:_="">
    <xsd:import namespace="http://schemas.microsoft.com/sharepoint/v3"/>
    <xsd:import namespace="88a6a153-49cb-47b7-a685-3875533540c1"/>
    <xsd:import namespace="936906ec-1363-406d-a4a3-425a77224731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FastMetadata" minOccurs="0"/>
                <xsd:element ref="ns2:MediaServiceSearchProperties" minOccurs="0"/>
                <xsd:element ref="ns2:MediaServiceMetadata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6a153-49cb-47b7-a685-3875533540c1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6906ec-1363-406d-a4a3-425a7722473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5291389-ab1c-46c3-b48d-36b642461fa1}" ma:internalName="TaxCatchAll" ma:showField="CatchAllData" ma:web="936906ec-1363-406d-a4a3-425a772247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B81DC3E-D2E7-4453-93C9-5AE281FAFB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8a6a153-49cb-47b7-a685-3875533540c1"/>
    <ds:schemaRef ds:uri="936906ec-1363-406d-a4a3-425a772247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FA473C-070A-4F25-89B5-2A588FBB64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71047D-C3BD-4764-AF63-77EF3FB61E9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NRE Calculator</vt:lpstr>
      <vt:lpstr>matrix</vt:lpstr>
      <vt:lpstr>calcNresults</vt:lpstr>
      <vt:lpstr>days</vt:lpstr>
      <vt:lpstr>country_list</vt:lpstr>
      <vt:lpstr>matrix</vt:lpstr>
      <vt:lpstr>matrix!Print_Area</vt:lpstr>
      <vt:lpstr>'NRE Calculator'!Print_Area</vt:lpstr>
    </vt:vector>
  </TitlesOfParts>
  <Manager/>
  <Company>IRAS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Loh Zhiqi</dc:creator>
  <cp:keywords/>
  <dc:description/>
  <cp:lastModifiedBy>IRASUser</cp:lastModifiedBy>
  <cp:revision/>
  <dcterms:created xsi:type="dcterms:W3CDTF">2010-04-27T00:55:27Z</dcterms:created>
  <dcterms:modified xsi:type="dcterms:W3CDTF">2026-10-26T08:19:46Z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0x01010040103D6B435B36418DD6D88ABEE38104</vt:lpwstr>
  </property>
  <property fmtid="{D5CDD505-2E9C-101B-9397-08002B2CF9AE}" pid="3" name="_dlc_DocId">
    <vt:lpwstr>3NFR4WWD2VMX-1327972061-8666</vt:lpwstr>
  </property>
  <property fmtid="{D5CDD505-2E9C-101B-9397-08002B2CF9AE}" pid="4" name="_dlc_DocIdItemGuid">
    <vt:lpwstr>0941b936-e068-46f1-b219-865e17f68330</vt:lpwstr>
  </property>
  <property fmtid="{D5CDD505-2E9C-101B-9397-08002B2CF9AE}" pid="5" name="_dlc_DocIdUrl">
    <vt:lpwstr>https://inex3.iras.gov.sg/sites/FnC/_layouts/15/DocIdRedir.aspx?ID=3NFR4WWD2VMX-1327972061-8666, 3NFR4WWD2VMX-1327972061-8666</vt:lpwstr>
  </property>
  <property fmtid="{D5CDD505-2E9C-101B-9397-08002B2CF9AE}" pid="6" name="display_urn:schemas-microsoft-com:office:office#Editor">
    <vt:lpwstr>Hwui Kheng GOH (IRAS)</vt:lpwstr>
  </property>
  <property fmtid="{D5CDD505-2E9C-101B-9397-08002B2CF9AE}" pid="7" name="display_urn:schemas-microsoft-com:office:office#Author">
    <vt:lpwstr>Hwui Kheng GOH (IRAS)</vt:lpwstr>
  </property>
  <property fmtid="{D5CDD505-2E9C-101B-9397-08002B2CF9AE}" pid="8" name="lcf76f155ced4ddcb4097134ff3c332f">
    <vt:lpwstr/>
  </property>
  <property fmtid="{D5CDD505-2E9C-101B-9397-08002B2CF9AE}" pid="9" name="TaxCatchAll">
    <vt:lpwstr/>
  </property>
  <property fmtid="{D5CDD505-2E9C-101B-9397-08002B2CF9AE}" pid="10" name="PublishingExpirationDate">
    <vt:lpwstr/>
  </property>
  <property fmtid="{D5CDD505-2E9C-101B-9397-08002B2CF9AE}" pid="11" name="PublishingStartDate">
    <vt:lpwstr/>
  </property>
  <property fmtid="{D5CDD505-2E9C-101B-9397-08002B2CF9AE}" pid="12" name="MSIP_Label_5434c4c7-833e-41e4-b0ab-cdb227a2f6f7_Enabled">
    <vt:lpwstr>true</vt:lpwstr>
  </property>
  <property fmtid="{D5CDD505-2E9C-101B-9397-08002B2CF9AE}" pid="13" name="MSIP_Label_5434c4c7-833e-41e4-b0ab-cdb227a2f6f7_SetDate">
    <vt:lpwstr>2026-10-15T02:11:46Z</vt:lpwstr>
  </property>
  <property fmtid="{D5CDD505-2E9C-101B-9397-08002B2CF9AE}" pid="14" name="MSIP_Label_5434c4c7-833e-41e4-b0ab-cdb227a2f6f7_Method">
    <vt:lpwstr>Privileged</vt:lpwstr>
  </property>
  <property fmtid="{D5CDD505-2E9C-101B-9397-08002B2CF9AE}" pid="15" name="MSIP_Label_5434c4c7-833e-41e4-b0ab-cdb227a2f6f7_Name">
    <vt:lpwstr>Official (Open)</vt:lpwstr>
  </property>
  <property fmtid="{D5CDD505-2E9C-101B-9397-08002B2CF9AE}" pid="16" name="MSIP_Label_5434c4c7-833e-41e4-b0ab-cdb227a2f6f7_SiteId">
    <vt:lpwstr>0b11c524-9a1c-4e1b-84cb-6336aefc2243</vt:lpwstr>
  </property>
  <property fmtid="{D5CDD505-2E9C-101B-9397-08002B2CF9AE}" pid="17" name="MSIP_Label_5434c4c7-833e-41e4-b0ab-cdb227a2f6f7_ActionId">
    <vt:lpwstr>fa7bf096-989e-4900-a90b-ee1901cce598</vt:lpwstr>
  </property>
  <property fmtid="{D5CDD505-2E9C-101B-9397-08002B2CF9AE}" pid="18" name="MSIP_Label_5434c4c7-833e-41e4-b0ab-cdb227a2f6f7_ContentBits">
    <vt:lpwstr>0</vt:lpwstr>
  </property>
  <property fmtid="{D5CDD505-2E9C-101B-9397-08002B2CF9AE}" pid="19" name="MSIP_Label_5434c4c7-833e-41e4-b0ab-cdb227a2f6f7_Tag">
    <vt:lpwstr>10, 0, 1, 1</vt:lpwstr>
  </property>
</Properties>
</file>