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5.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codeName="ThisWorkbook" autoCompressPictures="0"/>
  <mc:AlternateContent xmlns:mc="http://schemas.openxmlformats.org/markup-compatibility/2006">
    <mc:Choice Requires="x15">
      <x15ac:absPath xmlns:x15ac="http://schemas.microsoft.com/office/spreadsheetml/2010/11/ac" url="C:\Users\inllrab\Documents\EIS\"/>
    </mc:Choice>
  </mc:AlternateContent>
  <xr:revisionPtr revIDLastSave="0" documentId="13_ncr:1_{2C6648B6-A249-4760-AD82-2949772F817A}" xr6:coauthVersionLast="47" xr6:coauthVersionMax="47" xr10:uidLastSave="{00000000-0000-0000-0000-000000000000}"/>
  <bookViews>
    <workbookView xWindow="28680" yWindow="-120" windowWidth="29040" windowHeight="15840" tabRatio="500" activeTab="1" xr2:uid="{00000000-000D-0000-FFFF-FFFF00000000}"/>
  </bookViews>
  <sheets>
    <sheet name="Overview" sheetId="21" r:id="rId1"/>
    <sheet name="IA IPRs 1" sheetId="1" r:id="rId2"/>
    <sheet name="IA IPRs 2" sheetId="23" r:id="rId3"/>
    <sheet name="IA IPRs 3" sheetId="26" r:id="rId4"/>
    <sheet name="Explanatory notes on completion" sheetId="22" r:id="rId5"/>
  </sheets>
  <definedNames>
    <definedName name="_xlnm.Print_Area" localSheetId="4">'Explanatory notes on completion'!$A$1:$D$21</definedName>
    <definedName name="_xlnm.Print_Area" localSheetId="1">'IA IPRs 1'!$A:$C,'IA IPRs 1'!$E:$J</definedName>
    <definedName name="_xlnm.Print_Area" localSheetId="0">Overview!$J$1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6" l="1"/>
  <c r="B43" i="23"/>
  <c r="B44" i="23"/>
  <c r="B44" i="26"/>
  <c r="B43" i="26"/>
  <c r="B27" i="26"/>
  <c r="B14" i="26"/>
  <c r="V2" i="26" s="1"/>
  <c r="B12" i="26"/>
  <c r="B11" i="26"/>
  <c r="B27" i="23"/>
  <c r="B14" i="23"/>
  <c r="B13" i="23"/>
  <c r="B12" i="23"/>
  <c r="B11" i="23"/>
  <c r="V29" i="1"/>
  <c r="V28" i="1"/>
  <c r="V27" i="1"/>
  <c r="B27" i="1"/>
  <c r="B35" i="1" s="1"/>
  <c r="V26" i="1"/>
  <c r="V22" i="1"/>
  <c r="V21" i="1" s="1"/>
  <c r="V18" i="1"/>
  <c r="V17" i="1" s="1"/>
  <c r="V14" i="1"/>
  <c r="V12" i="1"/>
  <c r="V13" i="1" s="1"/>
  <c r="V9" i="1"/>
  <c r="B45" i="1" s="1"/>
  <c r="V7" i="1"/>
  <c r="V8" i="1" s="1"/>
  <c r="P29" i="1" s="1"/>
  <c r="E6" i="1"/>
  <c r="S33" i="1" s="1"/>
  <c r="V4" i="1"/>
  <c r="V9" i="26" l="1"/>
  <c r="B46" i="26" s="1"/>
  <c r="V2" i="1"/>
  <c r="V3" i="1"/>
  <c r="V4" i="26"/>
  <c r="F6" i="1"/>
  <c r="G6" i="1" s="1"/>
  <c r="V29" i="26"/>
  <c r="E6" i="26"/>
  <c r="S25" i="26" s="1"/>
  <c r="V12" i="26"/>
  <c r="V13" i="26" s="1"/>
  <c r="V14" i="26"/>
  <c r="V7" i="26"/>
  <c r="V8" i="26" s="1"/>
  <c r="M29" i="26" s="1"/>
  <c r="V2" i="23"/>
  <c r="V4" i="23"/>
  <c r="S30" i="1"/>
  <c r="S8" i="1"/>
  <c r="S4" i="1"/>
  <c r="S9" i="1"/>
  <c r="S15" i="1"/>
  <c r="S22" i="1"/>
  <c r="S17" i="1"/>
  <c r="S5" i="1"/>
  <c r="S10" i="1"/>
  <c r="S23" i="1"/>
  <c r="S12" i="1"/>
  <c r="S18" i="1"/>
  <c r="S25" i="1"/>
  <c r="V26" i="26"/>
  <c r="S32" i="1"/>
  <c r="S7" i="1"/>
  <c r="S13" i="1"/>
  <c r="S19" i="1"/>
  <c r="V3" i="23"/>
  <c r="S14" i="1"/>
  <c r="S21" i="1"/>
  <c r="S27" i="1"/>
  <c r="O29" i="1"/>
  <c r="M29" i="1"/>
  <c r="N29" i="1"/>
  <c r="V29" i="23"/>
  <c r="V28" i="23"/>
  <c r="V26" i="23"/>
  <c r="V18" i="23"/>
  <c r="V17" i="23" s="1"/>
  <c r="V27" i="23"/>
  <c r="B36" i="26"/>
  <c r="S6" i="1"/>
  <c r="S11" i="1"/>
  <c r="S16" i="1"/>
  <c r="S20" i="1"/>
  <c r="S24" i="1"/>
  <c r="S26" i="1"/>
  <c r="S28" i="1"/>
  <c r="S29" i="1"/>
  <c r="S31" i="1"/>
  <c r="E6" i="23"/>
  <c r="V7" i="23"/>
  <c r="V8" i="23" s="1"/>
  <c r="V9" i="23"/>
  <c r="B46" i="23" s="1"/>
  <c r="V12" i="23"/>
  <c r="V13" i="23" s="1"/>
  <c r="B36" i="23"/>
  <c r="V14" i="23"/>
  <c r="V22" i="23"/>
  <c r="V21" i="23" s="1"/>
  <c r="V3" i="26"/>
  <c r="S33" i="26"/>
  <c r="S31" i="26"/>
  <c r="S20" i="26"/>
  <c r="S32" i="26"/>
  <c r="S27" i="26"/>
  <c r="S14" i="26"/>
  <c r="S11" i="26"/>
  <c r="S10" i="26"/>
  <c r="S4" i="26"/>
  <c r="S17" i="26"/>
  <c r="S18" i="26"/>
  <c r="V27" i="26"/>
  <c r="V22" i="26"/>
  <c r="V21" i="26" s="1"/>
  <c r="V18" i="26"/>
  <c r="V17" i="26" s="1"/>
  <c r="V28" i="26"/>
  <c r="S13" i="26" l="1"/>
  <c r="S12" i="26"/>
  <c r="S16" i="26"/>
  <c r="S5" i="26"/>
  <c r="S15" i="26"/>
  <c r="S24" i="26"/>
  <c r="O29" i="26"/>
  <c r="S7" i="26"/>
  <c r="S21" i="26"/>
  <c r="S26" i="26"/>
  <c r="S6" i="26"/>
  <c r="S30" i="26"/>
  <c r="S8" i="26"/>
  <c r="S22" i="26"/>
  <c r="S28" i="26"/>
  <c r="S19" i="26"/>
  <c r="S9" i="26"/>
  <c r="S23" i="26"/>
  <c r="S29" i="26"/>
  <c r="N29" i="26"/>
  <c r="P29" i="26"/>
  <c r="F6" i="23"/>
  <c r="G6" i="23" s="1"/>
  <c r="H6" i="23" s="1"/>
  <c r="I6" i="23" s="1"/>
  <c r="F6" i="26"/>
  <c r="G6" i="26" s="1"/>
  <c r="P29" i="23"/>
  <c r="N29" i="23"/>
  <c r="O29" i="23"/>
  <c r="M29" i="23"/>
  <c r="H6" i="1"/>
  <c r="S32" i="23"/>
  <c r="S30" i="23"/>
  <c r="S27" i="23"/>
  <c r="S25" i="23"/>
  <c r="S23" i="23"/>
  <c r="S22" i="23"/>
  <c r="S21" i="23"/>
  <c r="S19" i="23"/>
  <c r="S18" i="23"/>
  <c r="S17" i="23"/>
  <c r="S33" i="23"/>
  <c r="S28" i="23"/>
  <c r="S26" i="23"/>
  <c r="S20" i="23"/>
  <c r="S13" i="23"/>
  <c r="S6" i="23"/>
  <c r="S31" i="23"/>
  <c r="S29" i="23"/>
  <c r="S24" i="23"/>
  <c r="S16" i="23"/>
  <c r="S15" i="23"/>
  <c r="S14" i="23"/>
  <c r="S12" i="23"/>
  <c r="S11" i="23"/>
  <c r="S10" i="23"/>
  <c r="S9" i="23"/>
  <c r="S8" i="23"/>
  <c r="S7" i="23"/>
  <c r="S5" i="23"/>
  <c r="S4" i="23"/>
  <c r="I6" i="1" l="1"/>
  <c r="J6" i="1" s="1"/>
  <c r="J6" i="23"/>
  <c r="H6" i="26"/>
  <c r="F7" i="23" l="1"/>
  <c r="I7" i="23"/>
  <c r="F8" i="23" s="1"/>
  <c r="G8" i="23" s="1"/>
  <c r="H8" i="23" s="1"/>
  <c r="I8" i="23" s="1"/>
  <c r="F9" i="23" s="1"/>
  <c r="G9" i="23" s="1"/>
  <c r="H9" i="23" s="1"/>
  <c r="I9" i="23" s="1"/>
  <c r="F10" i="23" s="1"/>
  <c r="G10" i="23" s="1"/>
  <c r="H10" i="23" s="1"/>
  <c r="I10" i="23" s="1"/>
  <c r="F11" i="23" s="1"/>
  <c r="G11" i="23" s="1"/>
  <c r="H11" i="23" s="1"/>
  <c r="I11" i="23" s="1"/>
  <c r="F12" i="23" s="1"/>
  <c r="G12" i="23" s="1"/>
  <c r="H12" i="23" s="1"/>
  <c r="I12" i="23" s="1"/>
  <c r="F13" i="23" s="1"/>
  <c r="G13" i="23" s="1"/>
  <c r="H13" i="23" s="1"/>
  <c r="I13" i="23" s="1"/>
  <c r="F14" i="23" s="1"/>
  <c r="G14" i="23" s="1"/>
  <c r="H14" i="23" s="1"/>
  <c r="I14" i="23" s="1"/>
  <c r="F15" i="23" s="1"/>
  <c r="G15" i="23" s="1"/>
  <c r="H15" i="23" s="1"/>
  <c r="I15" i="23" s="1"/>
  <c r="F16" i="23" s="1"/>
  <c r="G16" i="23" s="1"/>
  <c r="H16" i="23" s="1"/>
  <c r="I16" i="23" s="1"/>
  <c r="F17" i="23" s="1"/>
  <c r="G17" i="23" s="1"/>
  <c r="H17" i="23" s="1"/>
  <c r="I17" i="23" s="1"/>
  <c r="F18" i="23" s="1"/>
  <c r="G18" i="23" s="1"/>
  <c r="H18" i="23" s="1"/>
  <c r="I18" i="23" s="1"/>
  <c r="F19" i="23" s="1"/>
  <c r="G19" i="23" s="1"/>
  <c r="H19" i="23" s="1"/>
  <c r="I19" i="23" s="1"/>
  <c r="F20" i="23" s="1"/>
  <c r="G20" i="23" s="1"/>
  <c r="H20" i="23" s="1"/>
  <c r="I20" i="23" s="1"/>
  <c r="F21" i="23" s="1"/>
  <c r="G21" i="23" s="1"/>
  <c r="H21" i="23" s="1"/>
  <c r="I21" i="23" s="1"/>
  <c r="F22" i="23" s="1"/>
  <c r="G22" i="23" s="1"/>
  <c r="H22" i="23" s="1"/>
  <c r="I22" i="23" s="1"/>
  <c r="F23" i="23" s="1"/>
  <c r="G23" i="23" s="1"/>
  <c r="H23" i="23" s="1"/>
  <c r="I23" i="23" s="1"/>
  <c r="F24" i="23" s="1"/>
  <c r="G24" i="23" s="1"/>
  <c r="H24" i="23" s="1"/>
  <c r="I24" i="23" s="1"/>
  <c r="F25" i="23" s="1"/>
  <c r="G25" i="23" s="1"/>
  <c r="H25" i="23" s="1"/>
  <c r="I25" i="23" s="1"/>
  <c r="F26" i="23" s="1"/>
  <c r="G26" i="23" s="1"/>
  <c r="H26" i="23" s="1"/>
  <c r="I26" i="23" s="1"/>
  <c r="F27" i="23" s="1"/>
  <c r="G27" i="23" s="1"/>
  <c r="H27" i="23" s="1"/>
  <c r="I27" i="23" s="1"/>
  <c r="F28" i="23" s="1"/>
  <c r="G28" i="23" s="1"/>
  <c r="H28" i="23" s="1"/>
  <c r="I28" i="23" s="1"/>
  <c r="F29" i="23" s="1"/>
  <c r="G29" i="23" s="1"/>
  <c r="H29" i="23" s="1"/>
  <c r="I29" i="23" s="1"/>
  <c r="F30" i="23" s="1"/>
  <c r="G30" i="23" s="1"/>
  <c r="H30" i="23" s="1"/>
  <c r="I30" i="23" s="1"/>
  <c r="F31" i="23" s="1"/>
  <c r="G31" i="23" s="1"/>
  <c r="H31" i="23" s="1"/>
  <c r="I31" i="23" s="1"/>
  <c r="F32" i="23" s="1"/>
  <c r="G32" i="23" s="1"/>
  <c r="H32" i="23" s="1"/>
  <c r="I32" i="23" s="1"/>
  <c r="F33" i="23" s="1"/>
  <c r="G33" i="23" s="1"/>
  <c r="H33" i="23" s="1"/>
  <c r="I33" i="23" s="1"/>
  <c r="F35" i="23" s="1"/>
  <c r="G35" i="23" s="1"/>
  <c r="H35" i="23" s="1"/>
  <c r="I35" i="23" s="1"/>
  <c r="F36" i="23" s="1"/>
  <c r="G36" i="23" s="1"/>
  <c r="H36" i="23" s="1"/>
  <c r="I36" i="23" s="1"/>
  <c r="F37" i="23" s="1"/>
  <c r="G37" i="23" s="1"/>
  <c r="H37" i="23" s="1"/>
  <c r="I37" i="23" s="1"/>
  <c r="H7" i="23"/>
  <c r="G7" i="23"/>
  <c r="F7" i="1"/>
  <c r="G7" i="1" s="1"/>
  <c r="H7" i="1" s="1"/>
  <c r="I6" i="26"/>
  <c r="I7" i="1" l="1"/>
  <c r="J6" i="26"/>
  <c r="E7" i="23"/>
  <c r="E8" i="23"/>
  <c r="J8" i="23" s="1"/>
  <c r="J7" i="23" l="1"/>
  <c r="E7" i="1"/>
  <c r="J7" i="1" s="1"/>
  <c r="F8" i="1" s="1"/>
  <c r="E8" i="1" s="1"/>
  <c r="E9" i="23"/>
  <c r="J9" i="23" s="1"/>
  <c r="I7" i="26"/>
  <c r="F8" i="26" s="1"/>
  <c r="F7" i="26"/>
  <c r="G7" i="26"/>
  <c r="H7" i="26"/>
  <c r="G8" i="1" l="1"/>
  <c r="H8" i="1" s="1"/>
  <c r="I8" i="1" s="1"/>
  <c r="G8" i="26"/>
  <c r="H8" i="26" s="1"/>
  <c r="I8" i="26" s="1"/>
  <c r="F9" i="26" s="1"/>
  <c r="E8" i="26"/>
  <c r="J8" i="26" s="1"/>
  <c r="E7" i="26"/>
  <c r="E10" i="23"/>
  <c r="J10" i="23" l="1"/>
  <c r="J7" i="26"/>
  <c r="J8" i="1"/>
  <c r="F9" i="1" s="1"/>
  <c r="E11" i="23"/>
  <c r="G9" i="26"/>
  <c r="H9" i="26" s="1"/>
  <c r="I9" i="26" s="1"/>
  <c r="F10" i="26" s="1"/>
  <c r="E9" i="26"/>
  <c r="J9" i="26" s="1"/>
  <c r="J11" i="23" l="1"/>
  <c r="G9" i="1"/>
  <c r="H9" i="1" s="1"/>
  <c r="I9" i="1" s="1"/>
  <c r="E9" i="1"/>
  <c r="G10" i="26"/>
  <c r="H10" i="26" s="1"/>
  <c r="I10" i="26" s="1"/>
  <c r="F11" i="26" s="1"/>
  <c r="E10" i="26"/>
  <c r="E12" i="23"/>
  <c r="J12" i="23" s="1"/>
  <c r="J10" i="26" l="1"/>
  <c r="J9" i="1"/>
  <c r="F10" i="1" s="1"/>
  <c r="E13" i="23"/>
  <c r="G11" i="26"/>
  <c r="H11" i="26" s="1"/>
  <c r="I11" i="26" s="1"/>
  <c r="F12" i="26" s="1"/>
  <c r="E11" i="26"/>
  <c r="E10" i="1" l="1"/>
  <c r="J10" i="1" s="1"/>
  <c r="G10" i="1"/>
  <c r="H10" i="1" s="1"/>
  <c r="I10" i="1" s="1"/>
  <c r="F11" i="1" s="1"/>
  <c r="G11" i="1" s="1"/>
  <c r="H11" i="1" s="1"/>
  <c r="I11" i="1" s="1"/>
  <c r="F12" i="1" s="1"/>
  <c r="J11" i="26"/>
  <c r="J13" i="23"/>
  <c r="G12" i="26"/>
  <c r="H12" i="26" s="1"/>
  <c r="I12" i="26" s="1"/>
  <c r="F13" i="26" s="1"/>
  <c r="E12" i="26"/>
  <c r="E14" i="23"/>
  <c r="E11" i="1" l="1"/>
  <c r="J11" i="1" s="1"/>
  <c r="J12" i="26"/>
  <c r="J14" i="23"/>
  <c r="G12" i="1"/>
  <c r="H12" i="1" s="1"/>
  <c r="I12" i="1" s="1"/>
  <c r="F13" i="1" s="1"/>
  <c r="E12" i="1"/>
  <c r="E15" i="23"/>
  <c r="J15" i="23" s="1"/>
  <c r="G13" i="26"/>
  <c r="H13" i="26" s="1"/>
  <c r="I13" i="26" s="1"/>
  <c r="F14" i="26" s="1"/>
  <c r="E13" i="26"/>
  <c r="J12" i="1" l="1"/>
  <c r="J13" i="26"/>
  <c r="E13" i="1"/>
  <c r="J13" i="1" s="1"/>
  <c r="G13" i="1"/>
  <c r="H13" i="1" s="1"/>
  <c r="I13" i="1" s="1"/>
  <c r="F14" i="1" s="1"/>
  <c r="G14" i="26"/>
  <c r="H14" i="26" s="1"/>
  <c r="I14" i="26" s="1"/>
  <c r="F15" i="26" s="1"/>
  <c r="E14" i="26"/>
  <c r="J14" i="26" s="1"/>
  <c r="E16" i="23"/>
  <c r="J16" i="23" s="1"/>
  <c r="E14" i="1" l="1"/>
  <c r="G14" i="1"/>
  <c r="H14" i="1" s="1"/>
  <c r="I14" i="1" s="1"/>
  <c r="F15" i="1" s="1"/>
  <c r="E17" i="23"/>
  <c r="J17" i="23" s="1"/>
  <c r="G15" i="26"/>
  <c r="H15" i="26" s="1"/>
  <c r="I15" i="26" s="1"/>
  <c r="F16" i="26" s="1"/>
  <c r="E15" i="26"/>
  <c r="J14" i="1" l="1"/>
  <c r="J15" i="26"/>
  <c r="G15" i="1"/>
  <c r="H15" i="1" s="1"/>
  <c r="I15" i="1" s="1"/>
  <c r="F16" i="1" s="1"/>
  <c r="E15" i="1"/>
  <c r="G16" i="26"/>
  <c r="H16" i="26" s="1"/>
  <c r="I16" i="26" s="1"/>
  <c r="F17" i="26" s="1"/>
  <c r="E16" i="26"/>
  <c r="J16" i="26" s="1"/>
  <c r="E18" i="23"/>
  <c r="J18" i="23" s="1"/>
  <c r="J15" i="1" l="1"/>
  <c r="G16" i="1"/>
  <c r="H16" i="1" s="1"/>
  <c r="I16" i="1" s="1"/>
  <c r="F17" i="1" s="1"/>
  <c r="E16" i="1"/>
  <c r="E17" i="26"/>
  <c r="J17" i="26" s="1"/>
  <c r="G17" i="26"/>
  <c r="H17" i="26" s="1"/>
  <c r="I17" i="26" s="1"/>
  <c r="F18" i="26" s="1"/>
  <c r="E19" i="23"/>
  <c r="J19" i="23" s="1"/>
  <c r="J16" i="1" l="1"/>
  <c r="E17" i="1"/>
  <c r="J17" i="1" s="1"/>
  <c r="G17" i="1"/>
  <c r="H17" i="1" s="1"/>
  <c r="I17" i="1" s="1"/>
  <c r="F18" i="1" s="1"/>
  <c r="E18" i="26"/>
  <c r="J18" i="26" s="1"/>
  <c r="G18" i="26"/>
  <c r="H18" i="26" s="1"/>
  <c r="I18" i="26" s="1"/>
  <c r="F19" i="26" s="1"/>
  <c r="E20" i="23"/>
  <c r="J20" i="23" s="1"/>
  <c r="G18" i="1" l="1"/>
  <c r="H18" i="1" s="1"/>
  <c r="I18" i="1" s="1"/>
  <c r="F19" i="1" s="1"/>
  <c r="E18" i="1"/>
  <c r="E19" i="26"/>
  <c r="J19" i="26" s="1"/>
  <c r="G19" i="26"/>
  <c r="H19" i="26" s="1"/>
  <c r="I19" i="26" s="1"/>
  <c r="F20" i="26" s="1"/>
  <c r="E21" i="23"/>
  <c r="J21" i="23" s="1"/>
  <c r="J18" i="1" l="1"/>
  <c r="G19" i="1"/>
  <c r="H19" i="1" s="1"/>
  <c r="I19" i="1" s="1"/>
  <c r="F20" i="1" s="1"/>
  <c r="E19" i="1"/>
  <c r="J19" i="1" s="1"/>
  <c r="G20" i="26"/>
  <c r="H20" i="26" s="1"/>
  <c r="I20" i="26" s="1"/>
  <c r="F21" i="26" s="1"/>
  <c r="E20" i="26"/>
  <c r="J20" i="26" s="1"/>
  <c r="E22" i="23"/>
  <c r="J22" i="23" s="1"/>
  <c r="E20" i="1" l="1"/>
  <c r="J20" i="1" s="1"/>
  <c r="G20" i="1"/>
  <c r="H20" i="1" s="1"/>
  <c r="I20" i="1" s="1"/>
  <c r="F21" i="1" s="1"/>
  <c r="E23" i="23"/>
  <c r="J23" i="23" s="1"/>
  <c r="G21" i="26"/>
  <c r="H21" i="26" s="1"/>
  <c r="I21" i="26" s="1"/>
  <c r="F22" i="26" s="1"/>
  <c r="E21" i="26"/>
  <c r="J21" i="26" s="1"/>
  <c r="G21" i="1" l="1"/>
  <c r="H21" i="1" s="1"/>
  <c r="I21" i="1" s="1"/>
  <c r="F22" i="1" s="1"/>
  <c r="E21" i="1"/>
  <c r="J21" i="1" s="1"/>
  <c r="G22" i="26"/>
  <c r="H22" i="26" s="1"/>
  <c r="I22" i="26" s="1"/>
  <c r="F23" i="26" s="1"/>
  <c r="E22" i="26"/>
  <c r="J22" i="26" s="1"/>
  <c r="E24" i="23"/>
  <c r="J24" i="23" s="1"/>
  <c r="E22" i="1" l="1"/>
  <c r="J22" i="1" s="1"/>
  <c r="G22" i="1"/>
  <c r="H22" i="1" s="1"/>
  <c r="I22" i="1" s="1"/>
  <c r="F23" i="1" s="1"/>
  <c r="E25" i="23"/>
  <c r="J25" i="23" s="1"/>
  <c r="G23" i="26"/>
  <c r="H23" i="26" s="1"/>
  <c r="I23" i="26" s="1"/>
  <c r="F24" i="26" s="1"/>
  <c r="E23" i="26"/>
  <c r="J23" i="26" s="1"/>
  <c r="G23" i="1" l="1"/>
  <c r="H23" i="1" s="1"/>
  <c r="I23" i="1" s="1"/>
  <c r="F24" i="1" s="1"/>
  <c r="E23" i="1"/>
  <c r="J23" i="1" s="1"/>
  <c r="G24" i="26"/>
  <c r="H24" i="26" s="1"/>
  <c r="I24" i="26" s="1"/>
  <c r="F25" i="26" s="1"/>
  <c r="E24" i="26"/>
  <c r="J24" i="26" s="1"/>
  <c r="E26" i="23"/>
  <c r="J26" i="23" s="1"/>
  <c r="G24" i="1" l="1"/>
  <c r="H24" i="1" s="1"/>
  <c r="I24" i="1" s="1"/>
  <c r="F25" i="1" s="1"/>
  <c r="E24" i="1"/>
  <c r="J24" i="1" s="1"/>
  <c r="E27" i="23"/>
  <c r="J27" i="23" s="1"/>
  <c r="E25" i="26"/>
  <c r="J25" i="26" s="1"/>
  <c r="G25" i="26"/>
  <c r="H25" i="26" s="1"/>
  <c r="I25" i="26" s="1"/>
  <c r="F26" i="26" s="1"/>
  <c r="E25" i="1" l="1"/>
  <c r="J25" i="1" s="1"/>
  <c r="G25" i="1"/>
  <c r="H25" i="1" s="1"/>
  <c r="I25" i="1" s="1"/>
  <c r="F26" i="1" s="1"/>
  <c r="G26" i="26"/>
  <c r="H26" i="26" s="1"/>
  <c r="I26" i="26" s="1"/>
  <c r="F27" i="26" s="1"/>
  <c r="E26" i="26"/>
  <c r="J26" i="26" s="1"/>
  <c r="E28" i="23"/>
  <c r="J28" i="23" s="1"/>
  <c r="G26" i="1" l="1"/>
  <c r="H26" i="1" s="1"/>
  <c r="I26" i="1" s="1"/>
  <c r="F27" i="1" s="1"/>
  <c r="E26" i="1"/>
  <c r="J26" i="1" s="1"/>
  <c r="E29" i="23"/>
  <c r="J29" i="23" s="1"/>
  <c r="G27" i="26"/>
  <c r="H27" i="26" s="1"/>
  <c r="I27" i="26" s="1"/>
  <c r="F28" i="26" s="1"/>
  <c r="E27" i="26"/>
  <c r="J27" i="26" s="1"/>
  <c r="G27" i="1" l="1"/>
  <c r="H27" i="1" s="1"/>
  <c r="I27" i="1" s="1"/>
  <c r="F28" i="1" s="1"/>
  <c r="E27" i="1"/>
  <c r="J27" i="1" s="1"/>
  <c r="E30" i="23"/>
  <c r="J30" i="23" s="1"/>
  <c r="G28" i="26"/>
  <c r="H28" i="26" s="1"/>
  <c r="I28" i="26" s="1"/>
  <c r="F29" i="26" s="1"/>
  <c r="E28" i="26"/>
  <c r="J28" i="26" s="1"/>
  <c r="G28" i="1" l="1"/>
  <c r="H28" i="1" s="1"/>
  <c r="I28" i="1" s="1"/>
  <c r="F29" i="1" s="1"/>
  <c r="E28" i="1"/>
  <c r="J28" i="1" s="1"/>
  <c r="G29" i="26"/>
  <c r="H29" i="26" s="1"/>
  <c r="I29" i="26" s="1"/>
  <c r="F30" i="26" s="1"/>
  <c r="E29" i="26"/>
  <c r="J29" i="26" s="1"/>
  <c r="E31" i="23"/>
  <c r="J31" i="23" s="1"/>
  <c r="E29" i="1" l="1"/>
  <c r="J29" i="1" s="1"/>
  <c r="G29" i="1"/>
  <c r="H29" i="1" s="1"/>
  <c r="I29" i="1" s="1"/>
  <c r="F30" i="1" s="1"/>
  <c r="E32" i="23"/>
  <c r="J32" i="23" s="1"/>
  <c r="E30" i="26"/>
  <c r="J30" i="26" s="1"/>
  <c r="G30" i="26"/>
  <c r="H30" i="26" s="1"/>
  <c r="I30" i="26" s="1"/>
  <c r="F31" i="26" s="1"/>
  <c r="G30" i="1" l="1"/>
  <c r="H30" i="1" s="1"/>
  <c r="I30" i="1" s="1"/>
  <c r="F31" i="1" s="1"/>
  <c r="E30" i="1"/>
  <c r="J30" i="1" s="1"/>
  <c r="G31" i="26"/>
  <c r="H31" i="26" s="1"/>
  <c r="I31" i="26" s="1"/>
  <c r="F32" i="26" s="1"/>
  <c r="E31" i="26"/>
  <c r="J31" i="26" s="1"/>
  <c r="E33" i="23"/>
  <c r="J33" i="23" s="1"/>
  <c r="G31" i="1" l="1"/>
  <c r="H31" i="1" s="1"/>
  <c r="I31" i="1" s="1"/>
  <c r="F32" i="1" s="1"/>
  <c r="E31" i="1"/>
  <c r="J31" i="1" s="1"/>
  <c r="E35" i="23"/>
  <c r="J35" i="23" s="1"/>
  <c r="G32" i="26"/>
  <c r="H32" i="26" s="1"/>
  <c r="I32" i="26" s="1"/>
  <c r="F33" i="26" s="1"/>
  <c r="E32" i="26"/>
  <c r="J32" i="26" s="1"/>
  <c r="E32" i="1" l="1"/>
  <c r="J32" i="1" s="1"/>
  <c r="G32" i="1"/>
  <c r="H32" i="1" s="1"/>
  <c r="I32" i="1" s="1"/>
  <c r="F33" i="1" s="1"/>
  <c r="G33" i="26"/>
  <c r="H33" i="26" s="1"/>
  <c r="I33" i="26" s="1"/>
  <c r="F35" i="26" s="1"/>
  <c r="E33" i="26"/>
  <c r="J33" i="26" s="1"/>
  <c r="E36" i="23"/>
  <c r="J36" i="23" l="1"/>
  <c r="J38" i="23" s="1"/>
  <c r="Y27" i="23"/>
  <c r="X28" i="23"/>
  <c r="Y26" i="23"/>
  <c r="W27" i="23"/>
  <c r="X26" i="23"/>
  <c r="W26" i="23"/>
  <c r="Z26" i="23"/>
  <c r="B48" i="23" s="1"/>
  <c r="W28" i="23"/>
  <c r="X27" i="23"/>
  <c r="W29" i="23"/>
  <c r="G33" i="1"/>
  <c r="H33" i="1" s="1"/>
  <c r="I33" i="1" s="1"/>
  <c r="F34" i="1" s="1"/>
  <c r="E33" i="1"/>
  <c r="J33" i="1" s="1"/>
  <c r="E35" i="26"/>
  <c r="J35" i="26" s="1"/>
  <c r="G35" i="26"/>
  <c r="H35" i="26" s="1"/>
  <c r="I35" i="26" s="1"/>
  <c r="F36" i="26" s="1"/>
  <c r="E37" i="23"/>
  <c r="J37" i="23" s="1"/>
  <c r="G34" i="1" l="1"/>
  <c r="H34" i="1" s="1"/>
  <c r="I34" i="1" s="1"/>
  <c r="F35" i="1" s="1"/>
  <c r="E34" i="1"/>
  <c r="J34" i="1" s="1"/>
  <c r="G36" i="26"/>
  <c r="H36" i="26" s="1"/>
  <c r="I36" i="26" s="1"/>
  <c r="F37" i="26" s="1"/>
  <c r="E36" i="26"/>
  <c r="J36" i="26" l="1"/>
  <c r="J38" i="26" s="1"/>
  <c r="W27" i="26"/>
  <c r="Y26" i="26"/>
  <c r="W29" i="26"/>
  <c r="X26" i="26"/>
  <c r="Y27" i="26"/>
  <c r="W26" i="26"/>
  <c r="W28" i="26"/>
  <c r="X27" i="26"/>
  <c r="Z26" i="26"/>
  <c r="B48" i="26" s="1"/>
  <c r="X28" i="26"/>
  <c r="E35" i="1"/>
  <c r="G35" i="1"/>
  <c r="H35" i="1" s="1"/>
  <c r="I35" i="1" s="1"/>
  <c r="F36" i="1" s="1"/>
  <c r="G37" i="26"/>
  <c r="H37" i="26" s="1"/>
  <c r="I37" i="26" s="1"/>
  <c r="E37" i="26"/>
  <c r="J37" i="26" s="1"/>
  <c r="J35" i="1" l="1"/>
  <c r="J37" i="1" s="1"/>
  <c r="Y26" i="1"/>
  <c r="W28" i="1"/>
  <c r="W29" i="1"/>
  <c r="W27" i="1"/>
  <c r="Z26" i="1"/>
  <c r="B47" i="1" s="1"/>
  <c r="Y27" i="1"/>
  <c r="X28" i="1"/>
  <c r="W26" i="1"/>
  <c r="X27" i="1"/>
  <c r="X26" i="1"/>
  <c r="G36" i="1"/>
  <c r="H36" i="1" s="1"/>
  <c r="I36" i="1" s="1"/>
  <c r="E36" i="1"/>
  <c r="J36" i="1" s="1"/>
</calcChain>
</file>

<file path=xl/sharedStrings.xml><?xml version="1.0" encoding="utf-8"?>
<sst xmlns="http://schemas.openxmlformats.org/spreadsheetml/2006/main" count="255" uniqueCount="103">
  <si>
    <t>YA</t>
  </si>
  <si>
    <t>Total</t>
  </si>
  <si>
    <t>Quarter</t>
  </si>
  <si>
    <t>Check Number</t>
  </si>
  <si>
    <t>Months in Quarter</t>
  </si>
  <si>
    <t># Month</t>
  </si>
  <si>
    <t>Monthly Payment</t>
  </si>
  <si>
    <t>Downpayment</t>
  </si>
  <si>
    <t>The relevant financial period should fall within the same YA</t>
  </si>
  <si>
    <t>Check Date</t>
  </si>
  <si>
    <t>Number of Quarters</t>
  </si>
  <si>
    <t>Year-End</t>
  </si>
  <si>
    <t>(A1) Name of business</t>
  </si>
  <si>
    <t>(A2) Tax reference number</t>
  </si>
  <si>
    <t>(A3) Year End</t>
  </si>
  <si>
    <t>Qualifying Cost Before Cap</t>
  </si>
  <si>
    <t>(B14) Other qualifying activities in the YA</t>
  </si>
  <si>
    <t>(C) Qualifying Cost for the Relevant Financial Period</t>
  </si>
  <si>
    <t>(to be claimed in Annex A1)</t>
  </si>
  <si>
    <t xml:space="preserve">(B4) Number of instalments </t>
  </si>
  <si>
    <t xml:space="preserve">(B6) Subsequent instalments ($) </t>
  </si>
  <si>
    <t xml:space="preserve">(B7) Final instalment ($) </t>
  </si>
  <si>
    <t xml:space="preserve">(B5) First instalment ($) </t>
  </si>
  <si>
    <t xml:space="preserve">(B9) GST amount </t>
  </si>
  <si>
    <t xml:space="preserve">(B11) Downpayment </t>
  </si>
  <si>
    <t xml:space="preserve">(B10) Total </t>
  </si>
  <si>
    <t>(C3) YA</t>
  </si>
  <si>
    <t xml:space="preserve">(C4) Qualifying Cost </t>
  </si>
  <si>
    <t>(A3) Is the business GST registered?</t>
  </si>
  <si>
    <t>The qualifying cost for each relevant financial period is computed on a straight-line basis regardless of the actual principal sum repaid in each relevant financial period.</t>
  </si>
  <si>
    <t>Deposit Payment</t>
  </si>
  <si>
    <t>First instalment</t>
  </si>
  <si>
    <t>Deposit payment</t>
  </si>
  <si>
    <t>You should start on a new template if:</t>
  </si>
  <si>
    <t>2</t>
  </si>
  <si>
    <t>4</t>
  </si>
  <si>
    <t>8</t>
  </si>
  <si>
    <t xml:space="preserve">Item </t>
  </si>
  <si>
    <t>Description</t>
  </si>
  <si>
    <t>What to Complete</t>
  </si>
  <si>
    <t>B2</t>
  </si>
  <si>
    <t xml:space="preserve">Date of first instalment </t>
  </si>
  <si>
    <t xml:space="preserve">B3 </t>
  </si>
  <si>
    <t xml:space="preserve">Number of instalments </t>
  </si>
  <si>
    <t>First instalment ($)</t>
  </si>
  <si>
    <t>Subsequent instalments ($)</t>
  </si>
  <si>
    <t xml:space="preserve">Final instalment ($) </t>
  </si>
  <si>
    <t>B4</t>
  </si>
  <si>
    <t>B5</t>
  </si>
  <si>
    <t>B6</t>
  </si>
  <si>
    <t>B7</t>
  </si>
  <si>
    <t>B11</t>
  </si>
  <si>
    <t xml:space="preserve">Downpayment </t>
  </si>
  <si>
    <t>B14</t>
  </si>
  <si>
    <t>Other qualifying activities in the YA</t>
  </si>
  <si>
    <t>Note</t>
  </si>
  <si>
    <r>
      <t xml:space="preserve">(B13) </t>
    </r>
    <r>
      <rPr>
        <b/>
        <u/>
        <sz val="12"/>
        <rFont val="Calibri"/>
        <family val="2"/>
        <scheme val="minor"/>
      </rPr>
      <t>Non-qualifying costs</t>
    </r>
  </si>
  <si>
    <t>Please read the instructions below before completing this template</t>
  </si>
  <si>
    <t>5</t>
  </si>
  <si>
    <t>If you have received any grants for the IPRs, please enter the grant amount under</t>
  </si>
  <si>
    <t xml:space="preserve"> "Non-qualifying costs".</t>
  </si>
  <si>
    <t>Relevant Accounting Year (As Per EIS Cash Payout Application)</t>
  </si>
  <si>
    <r>
      <t xml:space="preserve">(A) Business Particulars </t>
    </r>
    <r>
      <rPr>
        <sz val="10"/>
        <color indexed="8"/>
        <rFont val="Arial"/>
        <family val="2"/>
      </rPr>
      <t>(As per EIS Cash Payout Application)</t>
    </r>
  </si>
  <si>
    <t>(B3) Date of first instalment (mm/dd/yyyy)</t>
  </si>
  <si>
    <t>(C1) From (mm/dd/yyyy):</t>
  </si>
  <si>
    <t>(C2) To (mm/dd/yyyy):</t>
  </si>
  <si>
    <t>v1.0</t>
  </si>
  <si>
    <t>(B1) Description of IPRs</t>
  </si>
  <si>
    <r>
      <t xml:space="preserve">This template computes the qualifying cost to be converted to EIS cash payout for Acquisition of Intellectual Property Rights (IPRs) acquired under any </t>
    </r>
    <r>
      <rPr>
        <b/>
        <sz val="10"/>
        <color indexed="8"/>
        <rFont val="Arial"/>
        <family val="2"/>
      </rPr>
      <t>Instalment Arrangement entered into during the basis period for YAs 2024 to 2028</t>
    </r>
    <r>
      <rPr>
        <sz val="10"/>
        <color indexed="8"/>
        <rFont val="Arial"/>
        <family val="2"/>
      </rPr>
      <t xml:space="preserve">. </t>
    </r>
  </si>
  <si>
    <t>ii. you are claiming EIS cash payout on IPRs acquired under instalment agreement(s) entered into during a different basis period (i.e. different YA).</t>
  </si>
  <si>
    <r>
      <t xml:space="preserve">(B) IA Details </t>
    </r>
    <r>
      <rPr>
        <sz val="10"/>
        <color indexed="8"/>
        <rFont val="Arial"/>
        <family val="2"/>
      </rPr>
      <t>(As per agreement)</t>
    </r>
  </si>
  <si>
    <t>(B2) Date of IA agreement (mm/dd/yyyy)</t>
  </si>
  <si>
    <t>(B8) Cash purchase price (exclude GST and IA interest)</t>
  </si>
  <si>
    <t>(B12) Term charges / IA interest</t>
  </si>
  <si>
    <t>(B15) Total qualifying cost for IA IPRs 1</t>
  </si>
  <si>
    <t>(B15) Other IA IPRs in the YA</t>
  </si>
  <si>
    <t>(B15) Total qualifying cost for IA IPRs 2</t>
  </si>
  <si>
    <t>i. you have more than 3 IPRs on IA; or</t>
  </si>
  <si>
    <t>Total Instalment paid Per YA</t>
  </si>
  <si>
    <t>Date of IA agreement (dd/mm/yyyy)</t>
  </si>
  <si>
    <t>This refers to the date of IA agreement/ date of IA agreement signed/ date of commencement of IA, which can usually be found at the top of the IA agreement</t>
  </si>
  <si>
    <t>The information to complete these items can usually be found under the "Mode of Payment" section in the IA agreement</t>
  </si>
  <si>
    <t>This is the deposit amount as stated in the IA agreement, which is inclusive of GST. (This is the deposit amount made for the equipment, which is inclusive of any payment made for GST. The amount paid can usually be found in the IA agreement.)</t>
  </si>
  <si>
    <t>Please exclude other IA equipment for the YA (if any)</t>
  </si>
  <si>
    <t>The YA refers to the YA in which the IA equipment is acquired.</t>
  </si>
  <si>
    <t xml:space="preserve">To illustrate, a IA IPRs (IPRs A) costing $110,000 was acquired in YA 2024 and the total qualifying expenditure (computed based on the capital repayment) for the YA was $30,000.   The company acquired another IPRs (IPRs B) in YA 2024 for $50,000.  As the expenditure conversion cap for cash payout cap of $100,000 for YA 2024 has been reached, cash payout is allowed only on IPRs A, capped at $100,000.  No cash payout will be granted on IPRs B.  </t>
  </si>
  <si>
    <t>Please include the qualifying costs for all other activities claimed for the YA (i.e. Training, IPR acquisition and registration, R&amp;D, Innovation projects carried out with Partner Institution).</t>
  </si>
  <si>
    <t>You are encouraged to submit this IA template together with the EIS Cash Payout Application. If you do so, you may retain your IA agreement(s), invoice(s) and payment schedule(s) and submit them only upon request.</t>
  </si>
  <si>
    <r>
      <t xml:space="preserve">You should </t>
    </r>
    <r>
      <rPr>
        <b/>
        <u/>
        <sz val="10"/>
        <color indexed="8"/>
        <rFont val="Arial"/>
        <family val="2"/>
      </rPr>
      <t>not</t>
    </r>
    <r>
      <rPr>
        <b/>
        <sz val="10"/>
        <color indexed="8"/>
        <rFont val="Arial"/>
        <family val="2"/>
      </rPr>
      <t xml:space="preserve"> use this template </t>
    </r>
    <r>
      <rPr>
        <sz val="10"/>
        <color indexed="8"/>
        <rFont val="Arial"/>
        <family val="2"/>
      </rPr>
      <t xml:space="preserve">if your basis period is more than 12 months due to a change in accounting year end.  </t>
    </r>
    <r>
      <rPr>
        <sz val="10"/>
        <rFont val="Arial"/>
        <family val="2"/>
      </rPr>
      <t>Please submit the documents under point 8.</t>
    </r>
  </si>
  <si>
    <t>Breakdown of Qualifying Cost for Each YA - IPRs 3 (Pre-filled)</t>
  </si>
  <si>
    <t>Breakdown of Qualifying Cost for Each YA - IPRs 2 (Pre-filled)</t>
  </si>
  <si>
    <t>Breakdown of Qualifying Cost for Each YA - IPRs 1 (Pre-filled)</t>
  </si>
  <si>
    <t xml:space="preserve">The qualifying expenditure to be converted to EIS cash payout for all five EIS qualifying activities is capped at $100,000 for each YA.  For the purpose of determining whether the expenditure conversion cap of $100,000 for a YA has been reached, the cost of the IA IPRs acquired in that YA will be taken into account. </t>
  </si>
  <si>
    <r>
      <t xml:space="preserve">Please fill this form in </t>
    </r>
    <r>
      <rPr>
        <b/>
        <sz val="10"/>
        <color indexed="8"/>
        <rFont val="Arial"/>
        <family val="2"/>
      </rPr>
      <t>soft-copy</t>
    </r>
    <r>
      <rPr>
        <sz val="10"/>
        <color indexed="8"/>
        <rFont val="Arial"/>
        <family val="2"/>
      </rPr>
      <t xml:space="preserve">. </t>
    </r>
    <r>
      <rPr>
        <u/>
        <sz val="10"/>
        <color indexed="8"/>
        <rFont val="Arial"/>
        <family val="2"/>
      </rPr>
      <t>Do not</t>
    </r>
    <r>
      <rPr>
        <sz val="10"/>
        <color indexed="8"/>
        <rFont val="Arial"/>
        <family val="2"/>
      </rPr>
      <t xml:space="preserve"> print it out and fill in manually.</t>
    </r>
  </si>
  <si>
    <r>
      <rPr>
        <b/>
        <sz val="10"/>
        <color indexed="8"/>
        <rFont val="Arial"/>
        <family val="2"/>
      </rPr>
      <t>If you are not using the template</t>
    </r>
    <r>
      <rPr>
        <sz val="10"/>
        <color indexed="8"/>
        <rFont val="Arial"/>
        <family val="2"/>
      </rPr>
      <t>, please submit the instalment agreement(s), invoice(s) and payment schedule(s) when filing the EIS Cash Payout Application. Where the information furnished in your cash payout application is complete, we will process the claim. However, if the information is incomplete, we will request for further details to review your claim.</t>
    </r>
  </si>
  <si>
    <t>9</t>
  </si>
  <si>
    <r>
      <rPr>
        <b/>
        <u/>
        <sz val="10"/>
        <color indexed="8"/>
        <rFont val="Arial"/>
        <family val="2"/>
      </rPr>
      <t>Instructions for IA IPRs 2</t>
    </r>
    <r>
      <rPr>
        <sz val="10"/>
        <color indexed="8"/>
        <rFont val="Arial"/>
        <family val="2"/>
      </rPr>
      <t xml:space="preserve">
1. </t>
    </r>
    <r>
      <rPr>
        <sz val="10"/>
        <color rgb="FF000000"/>
        <rFont val="Arial"/>
        <family val="2"/>
      </rPr>
      <t xml:space="preserve">Ensure that this IA IPRs is acquired in the </t>
    </r>
    <r>
      <rPr>
        <b/>
        <sz val="10"/>
        <color rgb="FF000000"/>
        <rFont val="Arial"/>
        <family val="2"/>
      </rPr>
      <t>same YA</t>
    </r>
    <r>
      <rPr>
        <sz val="10"/>
        <color rgb="FF000000"/>
        <rFont val="Arial"/>
        <family val="2"/>
      </rPr>
      <t xml:space="preserve"> as IA IPRs 1.</t>
    </r>
    <r>
      <rPr>
        <sz val="10"/>
        <color indexed="8"/>
        <rFont val="Arial"/>
        <family val="2"/>
      </rPr>
      <t xml:space="preserve">
2. Part (A) and (C) are pre-filled from your inputs in the tab "IA IPRs 1".
3. </t>
    </r>
    <r>
      <rPr>
        <b/>
        <sz val="10"/>
        <color rgb="FF000000"/>
        <rFont val="Arial"/>
        <family val="2"/>
      </rPr>
      <t>Complete Part (B)</t>
    </r>
    <r>
      <rPr>
        <sz val="10"/>
        <color rgb="FF000000"/>
        <rFont val="Arial"/>
        <family val="2"/>
      </rPr>
      <t>.</t>
    </r>
    <r>
      <rPr>
        <b/>
        <sz val="10"/>
        <color rgb="FF000000"/>
        <rFont val="Arial"/>
        <family val="2"/>
      </rPr>
      <t xml:space="preserve">
</t>
    </r>
    <r>
      <rPr>
        <sz val="10"/>
        <color rgb="FF000000"/>
        <rFont val="Arial"/>
        <family val="2"/>
      </rPr>
      <t>4. Enter the qualifying cost displayed in Part (C) in your EIS Cash Payout Application.</t>
    </r>
    <r>
      <rPr>
        <sz val="10"/>
        <color indexed="8"/>
        <rFont val="Arial"/>
        <family val="2"/>
      </rPr>
      <t xml:space="preserve">
4.</t>
    </r>
    <r>
      <rPr>
        <b/>
        <sz val="10"/>
        <color indexed="8"/>
        <rFont val="Arial"/>
        <family val="2"/>
      </rPr>
      <t xml:space="preserve"> Print all pages</t>
    </r>
    <r>
      <rPr>
        <sz val="10"/>
        <color indexed="8"/>
        <rFont val="Arial"/>
        <family val="2"/>
      </rPr>
      <t xml:space="preserve"> of the IA template (in PDF format) and submit it with your EIS Cash Payout Application.
5. Save a softcopy of the IA template.</t>
    </r>
    <r>
      <rPr>
        <b/>
        <sz val="10"/>
        <color indexed="8"/>
        <rFont val="Arial"/>
        <family val="2"/>
      </rPr>
      <t xml:space="preserve"> </t>
    </r>
    <r>
      <rPr>
        <sz val="10"/>
        <color indexed="8"/>
        <rFont val="Arial"/>
        <family val="2"/>
      </rPr>
      <t>For future claims on the same IA IPRs, update the relevant financial period in Part (C) of "IA IPRs 1" and repeat steps (4) and (5) above.</t>
    </r>
  </si>
  <si>
    <r>
      <rPr>
        <b/>
        <u/>
        <sz val="10"/>
        <color indexed="8"/>
        <rFont val="Arial"/>
        <family val="2"/>
      </rPr>
      <t>Instructions for IA IPRs 3</t>
    </r>
    <r>
      <rPr>
        <sz val="10"/>
        <color indexed="8"/>
        <rFont val="Arial"/>
        <family val="2"/>
      </rPr>
      <t xml:space="preserve">
1. </t>
    </r>
    <r>
      <rPr>
        <sz val="10"/>
        <color rgb="FF000000"/>
        <rFont val="Arial"/>
        <family val="2"/>
      </rPr>
      <t xml:space="preserve">Ensure that this IA IPRs is acquired in the </t>
    </r>
    <r>
      <rPr>
        <b/>
        <sz val="10"/>
        <color rgb="FF000000"/>
        <rFont val="Arial"/>
        <family val="2"/>
      </rPr>
      <t>same YA</t>
    </r>
    <r>
      <rPr>
        <sz val="10"/>
        <color rgb="FF000000"/>
        <rFont val="Arial"/>
        <family val="2"/>
      </rPr>
      <t xml:space="preserve"> as IA IPRs 1.</t>
    </r>
    <r>
      <rPr>
        <sz val="10"/>
        <color indexed="8"/>
        <rFont val="Arial"/>
        <family val="2"/>
      </rPr>
      <t xml:space="preserve">
2. Part (A) and (C) are pre-filled from your inputs in the tab "IA IPRs 1".
3. </t>
    </r>
    <r>
      <rPr>
        <b/>
        <sz val="10"/>
        <color rgb="FF000000"/>
        <rFont val="Arial"/>
        <family val="2"/>
      </rPr>
      <t>Complete Part (B)</t>
    </r>
    <r>
      <rPr>
        <sz val="10"/>
        <color rgb="FF000000"/>
        <rFont val="Arial"/>
        <family val="2"/>
      </rPr>
      <t>.</t>
    </r>
    <r>
      <rPr>
        <b/>
        <sz val="10"/>
        <color rgb="FF000000"/>
        <rFont val="Arial"/>
        <family val="2"/>
      </rPr>
      <t xml:space="preserve">
</t>
    </r>
    <r>
      <rPr>
        <sz val="10"/>
        <color rgb="FF000000"/>
        <rFont val="Arial"/>
        <family val="2"/>
      </rPr>
      <t>4. Enter the qualifying cost displayed in Part (C) in your EIS Cash Payout Application.</t>
    </r>
    <r>
      <rPr>
        <sz val="10"/>
        <color indexed="8"/>
        <rFont val="Arial"/>
        <family val="2"/>
      </rPr>
      <t xml:space="preserve">
4.</t>
    </r>
    <r>
      <rPr>
        <b/>
        <sz val="10"/>
        <color indexed="8"/>
        <rFont val="Arial"/>
        <family val="2"/>
      </rPr>
      <t xml:space="preserve"> Print all pages</t>
    </r>
    <r>
      <rPr>
        <sz val="10"/>
        <color indexed="8"/>
        <rFont val="Arial"/>
        <family val="2"/>
      </rPr>
      <t xml:space="preserve"> of the IA template (in PDF format) and submit it with your EIS Cash Payout Application.
5. Save a softcopy of the IA template.</t>
    </r>
    <r>
      <rPr>
        <b/>
        <sz val="10"/>
        <color indexed="8"/>
        <rFont val="Arial"/>
        <family val="2"/>
      </rPr>
      <t xml:space="preserve"> </t>
    </r>
    <r>
      <rPr>
        <sz val="10"/>
        <color indexed="8"/>
        <rFont val="Arial"/>
        <family val="2"/>
      </rPr>
      <t>For future claims on the same IA IPRs, update the relevant financial period in Part (C) of "IA IPRs 1" and repeat steps (4) and (5) above.</t>
    </r>
  </si>
  <si>
    <r>
      <t xml:space="preserve">Do </t>
    </r>
    <r>
      <rPr>
        <b/>
        <u/>
        <sz val="10"/>
        <color indexed="8"/>
        <rFont val="Arial"/>
        <family val="2"/>
      </rPr>
      <t>not</t>
    </r>
    <r>
      <rPr>
        <b/>
        <sz val="10"/>
        <color indexed="8"/>
        <rFont val="Arial"/>
        <family val="2"/>
      </rPr>
      <t xml:space="preserve"> print this page for submission.</t>
    </r>
    <r>
      <rPr>
        <b/>
        <sz val="10"/>
        <color theme="1"/>
        <rFont val="Arial"/>
        <family val="2"/>
      </rPr>
      <t xml:space="preserve"> </t>
    </r>
    <r>
      <rPr>
        <sz val="10"/>
        <rFont val="Arial"/>
        <family val="2"/>
      </rPr>
      <t>Please print and save tab IA_IPRs 1 to IA_IPRs 3 into PDF format and submit the document in the 'Apply for EIS Cash Payout' Digital Service.</t>
    </r>
  </si>
  <si>
    <r>
      <rPr>
        <b/>
        <sz val="10"/>
        <color indexed="8"/>
        <rFont val="Arial"/>
        <family val="2"/>
      </rPr>
      <t>You are not required to submit this template</t>
    </r>
    <r>
      <rPr>
        <sz val="10"/>
        <color indexed="8"/>
        <rFont val="Arial"/>
        <family val="2"/>
      </rPr>
      <t xml:space="preserve"> if you are able to determine/ compute the qualifying cost to be converted to EIS cash payout on your IA IPRs based on the actual principal repaid in the relevant financial period. </t>
    </r>
  </si>
  <si>
    <r>
      <rPr>
        <b/>
        <u/>
        <sz val="10"/>
        <color rgb="FF000000"/>
        <rFont val="Arial"/>
        <family val="2"/>
      </rPr>
      <t>Instructions for IA IPRs 1</t>
    </r>
    <r>
      <rPr>
        <sz val="10"/>
        <color indexed="8"/>
        <rFont val="Arial"/>
        <family val="2"/>
      </rPr>
      <t xml:space="preserve">
1. Complete Parts (A) to (C).
2. Enter the qualifying cost computed in Part (C) of your EIS Cash Payout Application.
3. If you acquired other IA IPRs in the same YA, complete the relevant tab(s) "IA IPRs 2" to "IA IPRs 3" in sequential order. Skipping a tab will result in computation errors.
4.</t>
    </r>
    <r>
      <rPr>
        <b/>
        <sz val="10"/>
        <color rgb="FF000000"/>
        <rFont val="Arial"/>
        <family val="2"/>
      </rPr>
      <t xml:space="preserve"> Print all pages</t>
    </r>
    <r>
      <rPr>
        <sz val="10"/>
        <color indexed="8"/>
        <rFont val="Arial"/>
        <family val="2"/>
      </rPr>
      <t xml:space="preserve"> of the IA template (in PDF format) and submit it with your EIS Cash Payout Application Form.
5. Save a softcopy of the IA template. For future claims on the same IPRs, update the relevant financial period in Part (C) and repeat steps (2) and (4) above. </t>
    </r>
  </si>
  <si>
    <t>Enterprise Innovation Scheme (EIS)
Instalment Arrangement (IA) Template for Years of Assessment (YAs) 2024 to 2028</t>
  </si>
  <si>
    <t>Enterprise Innovation Scheme (EIS)
Instalment Arrangement (IA) Template for Years of Assessment (YAs) 2024 to 2028
Explanatory Notes on Completing the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</si>
</sst>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
    <numFmt numFmtId="165" formatCode="&quot;$&quot;#,##0"/>
    <numFmt numFmtId="166" formatCode="&quot;$&quot;#,#00;\-0;;@"/>
    <numFmt numFmtId="167" formatCode="d\ mmm"/>
    <numFmt numFmtId="168" formatCode="&quot;$&quot;#,##0;\-0;;@"/>
    <numFmt numFmtId="169" formatCode="dd\ mmm"/>
  </numFmts>
  <fonts count="20" x14ac:knownFonts="1">
    <font>
      <sz val="12"/>
      <color theme="1"/>
      <name val="Calibri"/>
      <family val="2"/>
      <scheme val="minor"/>
    </font>
    <font>
      <sz val="8"/>
      <name val="Calibri"/>
      <family val="2"/>
    </font>
    <font>
      <b/>
      <sz val="10"/>
      <color indexed="8"/>
      <name val="Arial"/>
      <family val="2"/>
    </font>
    <font>
      <sz val="10"/>
      <color indexed="8"/>
      <name val="Arial"/>
      <family val="2"/>
    </font>
    <font>
      <sz val="10"/>
      <name val="Arial"/>
      <family val="2"/>
    </font>
    <font>
      <b/>
      <sz val="10"/>
      <name val="Arial"/>
      <family val="2"/>
    </font>
    <font>
      <u/>
      <sz val="10"/>
      <color indexed="8"/>
      <name val="Arial"/>
      <family val="2"/>
    </font>
    <font>
      <b/>
      <u/>
      <sz val="10"/>
      <color indexed="8"/>
      <name val="Arial"/>
      <family val="2"/>
    </font>
    <font>
      <sz val="12"/>
      <color theme="1"/>
      <name val="Calibri"/>
      <family val="2"/>
      <scheme val="minor"/>
    </font>
    <font>
      <sz val="10"/>
      <color theme="1"/>
      <name val="Arial"/>
      <family val="2"/>
    </font>
    <font>
      <b/>
      <sz val="10"/>
      <color theme="1"/>
      <name val="Arial"/>
      <family val="2"/>
    </font>
    <font>
      <i/>
      <sz val="10"/>
      <color theme="1"/>
      <name val="Arial"/>
      <family val="2"/>
    </font>
    <font>
      <u/>
      <sz val="10"/>
      <color theme="1"/>
      <name val="Arial"/>
      <family val="2"/>
    </font>
    <font>
      <sz val="8"/>
      <color theme="1"/>
      <name val="Arial"/>
      <family val="2"/>
    </font>
    <font>
      <sz val="12"/>
      <name val="Calibri"/>
      <family val="2"/>
      <scheme val="minor"/>
    </font>
    <font>
      <b/>
      <u/>
      <sz val="12"/>
      <name val="Calibri"/>
      <family val="2"/>
      <scheme val="minor"/>
    </font>
    <font>
      <b/>
      <sz val="9"/>
      <color rgb="FFFF0000"/>
      <name val="Arial"/>
      <family val="2"/>
    </font>
    <font>
      <sz val="10"/>
      <color rgb="FF000000"/>
      <name val="Arial"/>
      <family val="2"/>
    </font>
    <font>
      <b/>
      <sz val="10"/>
      <color rgb="FF000000"/>
      <name val="Arial"/>
      <family val="2"/>
    </font>
    <font>
      <b/>
      <u/>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C000"/>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3" fontId="8" fillId="0" borderId="0" applyFont="0" applyFill="0" applyBorder="0" applyAlignment="0" applyProtection="0"/>
  </cellStyleXfs>
  <cellXfs count="195">
    <xf numFmtId="0" fontId="0" fillId="0" borderId="0" xfId="0"/>
    <xf numFmtId="0" fontId="9" fillId="0" borderId="0" xfId="0" applyFont="1"/>
    <xf numFmtId="0" fontId="9" fillId="2" borderId="0" xfId="0" applyFont="1" applyFill="1"/>
    <xf numFmtId="0" fontId="9" fillId="0" borderId="2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65" fontId="9" fillId="0" borderId="5" xfId="0" applyNumberFormat="1" applyFont="1" applyBorder="1" applyAlignment="1" applyProtection="1">
      <alignment horizontal="center" vertical="center"/>
      <protection locked="0"/>
    </xf>
    <xf numFmtId="165" fontId="4" fillId="0" borderId="5" xfId="1" applyNumberFormat="1" applyFont="1" applyFill="1" applyBorder="1" applyAlignment="1" applyProtection="1">
      <alignment horizontal="center" vertical="center"/>
      <protection locked="0"/>
    </xf>
    <xf numFmtId="165" fontId="4" fillId="0" borderId="5" xfId="0" applyNumberFormat="1"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167" fontId="4" fillId="0" borderId="5" xfId="0" applyNumberFormat="1" applyFont="1" applyBorder="1" applyAlignment="1" applyProtection="1">
      <alignment horizontal="center" vertical="center"/>
      <protection locked="0"/>
    </xf>
    <xf numFmtId="3" fontId="4" fillId="0" borderId="5" xfId="0" applyNumberFormat="1" applyFont="1" applyBorder="1" applyAlignment="1" applyProtection="1">
      <alignment horizontal="center" vertical="center"/>
      <protection locked="0"/>
    </xf>
    <xf numFmtId="0" fontId="9" fillId="2" borderId="0" xfId="0" applyFont="1" applyFill="1" applyAlignment="1">
      <alignment horizontal="left" vertical="top" wrapText="1"/>
    </xf>
    <xf numFmtId="0" fontId="10" fillId="2" borderId="0" xfId="0" applyFont="1" applyFill="1" applyAlignment="1">
      <alignment horizontal="center" vertical="top" wrapText="1"/>
    </xf>
    <xf numFmtId="0" fontId="10" fillId="2" borderId="0" xfId="0" applyFont="1" applyFill="1" applyAlignment="1">
      <alignment vertical="top" wrapText="1"/>
    </xf>
    <xf numFmtId="14" fontId="9" fillId="0" borderId="5" xfId="0" applyNumberFormat="1" applyFont="1" applyBorder="1" applyAlignment="1" applyProtection="1">
      <alignment horizontal="center" vertical="center"/>
      <protection locked="0"/>
    </xf>
    <xf numFmtId="16" fontId="9" fillId="0" borderId="27"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0" fillId="0" borderId="1" xfId="0" applyFont="1" applyBorder="1" applyAlignment="1">
      <alignment horizontal="left"/>
    </xf>
    <xf numFmtId="165" fontId="9" fillId="0" borderId="3" xfId="0" applyNumberFormat="1"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10" fillId="0" borderId="4" xfId="0" applyFont="1" applyBorder="1" applyAlignment="1">
      <alignment horizontal="left"/>
    </xf>
    <xf numFmtId="165" fontId="9" fillId="0" borderId="6" xfId="0" applyNumberFormat="1" applyFont="1" applyBorder="1" applyAlignment="1">
      <alignment horizontal="center"/>
    </xf>
    <xf numFmtId="0" fontId="10" fillId="0" borderId="10" xfId="0" applyFont="1" applyBorder="1" applyAlignment="1">
      <alignment horizontal="left"/>
    </xf>
    <xf numFmtId="165" fontId="9" fillId="0" borderId="12" xfId="0" applyNumberFormat="1" applyFont="1" applyBorder="1" applyAlignment="1">
      <alignment horizontal="center"/>
    </xf>
    <xf numFmtId="0" fontId="9" fillId="0" borderId="3" xfId="0" applyFont="1" applyBorder="1" applyAlignment="1">
      <alignment horizontal="center"/>
    </xf>
    <xf numFmtId="0" fontId="9" fillId="0" borderId="0" xfId="0" applyFont="1" applyAlignment="1">
      <alignment horizontal="right"/>
    </xf>
    <xf numFmtId="0" fontId="10" fillId="0" borderId="10" xfId="0" applyFont="1" applyBorder="1"/>
    <xf numFmtId="14" fontId="9" fillId="0" borderId="12" xfId="0" applyNumberFormat="1" applyFont="1" applyBorder="1" applyAlignment="1">
      <alignment horizontal="right" vertical="center"/>
    </xf>
    <xf numFmtId="0" fontId="10" fillId="0" borderId="0" xfId="0" applyFont="1" applyAlignment="1">
      <alignment horizontal="center"/>
    </xf>
    <xf numFmtId="0" fontId="10" fillId="0" borderId="1" xfId="0" applyFont="1" applyBorder="1"/>
    <xf numFmtId="0" fontId="9" fillId="0" borderId="3" xfId="0" applyFont="1" applyBorder="1"/>
    <xf numFmtId="14" fontId="9" fillId="0" borderId="0" xfId="0" applyNumberFormat="1" applyFont="1" applyAlignment="1">
      <alignment horizontal="center"/>
    </xf>
    <xf numFmtId="0" fontId="9" fillId="0" borderId="1" xfId="0" applyFont="1" applyBorder="1"/>
    <xf numFmtId="0" fontId="9" fillId="0" borderId="2" xfId="0" applyFont="1" applyBorder="1"/>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166" fontId="9" fillId="0" borderId="5" xfId="0" applyNumberFormat="1" applyFont="1" applyBorder="1"/>
    <xf numFmtId="166" fontId="9" fillId="0" borderId="6" xfId="0" applyNumberFormat="1" applyFont="1" applyBorder="1"/>
    <xf numFmtId="0" fontId="9" fillId="0" borderId="6" xfId="0" applyFont="1" applyBorder="1"/>
    <xf numFmtId="0" fontId="9" fillId="0" borderId="2" xfId="0" applyFont="1" applyBorder="1" applyAlignment="1">
      <alignment horizontal="center"/>
    </xf>
    <xf numFmtId="0" fontId="9" fillId="0" borderId="22" xfId="0" applyFont="1" applyBorder="1" applyAlignment="1">
      <alignment horizontal="center"/>
    </xf>
    <xf numFmtId="0" fontId="9" fillId="0" borderId="5" xfId="0" applyFont="1" applyBorder="1"/>
    <xf numFmtId="0" fontId="9" fillId="0" borderId="11" xfId="0" applyFont="1" applyBorder="1" applyAlignment="1">
      <alignment horizontal="center"/>
    </xf>
    <xf numFmtId="0" fontId="9" fillId="0" borderId="12" xfId="0" applyFont="1" applyBorder="1" applyAlignment="1">
      <alignment horizontal="center"/>
    </xf>
    <xf numFmtId="0" fontId="9" fillId="0" borderId="0" xfId="0" applyFont="1" applyAlignment="1">
      <alignment horizontal="center"/>
    </xf>
    <xf numFmtId="0" fontId="9" fillId="0" borderId="10" xfId="0" applyFont="1" applyBorder="1" applyAlignment="1">
      <alignment horizontal="center"/>
    </xf>
    <xf numFmtId="166" fontId="9" fillId="0" borderId="11" xfId="0" applyNumberFormat="1" applyFont="1" applyBorder="1"/>
    <xf numFmtId="0" fontId="9" fillId="0" borderId="11" xfId="0" applyFont="1" applyBorder="1"/>
    <xf numFmtId="0" fontId="9" fillId="0" borderId="12" xfId="0" applyFont="1" applyBorder="1"/>
    <xf numFmtId="169" fontId="9" fillId="0" borderId="2" xfId="0" applyNumberFormat="1" applyFont="1" applyBorder="1"/>
    <xf numFmtId="169" fontId="9" fillId="0" borderId="3" xfId="0" applyNumberFormat="1" applyFont="1" applyBorder="1"/>
    <xf numFmtId="0" fontId="9" fillId="0" borderId="4" xfId="0" applyFont="1" applyBorder="1"/>
    <xf numFmtId="0" fontId="10" fillId="0" borderId="29" xfId="0" applyFont="1" applyBorder="1" applyAlignment="1">
      <alignment horizontal="center"/>
    </xf>
    <xf numFmtId="167" fontId="9" fillId="0" borderId="22" xfId="0" applyNumberFormat="1" applyFont="1" applyBorder="1" applyAlignment="1">
      <alignment horizontal="center"/>
    </xf>
    <xf numFmtId="164" fontId="9" fillId="0" borderId="0" xfId="0" applyNumberFormat="1" applyFont="1"/>
    <xf numFmtId="0" fontId="9" fillId="0" borderId="10" xfId="0" applyFont="1" applyBorder="1"/>
    <xf numFmtId="167" fontId="9" fillId="0" borderId="30" xfId="0" applyNumberFormat="1" applyFont="1" applyBorder="1" applyAlignment="1">
      <alignment horizontal="center"/>
    </xf>
    <xf numFmtId="167" fontId="9" fillId="0" borderId="0" xfId="0" applyNumberFormat="1" applyFont="1" applyAlignment="1">
      <alignment horizontal="center"/>
    </xf>
    <xf numFmtId="0" fontId="10" fillId="0" borderId="0" xfId="0" applyFont="1" applyAlignment="1" applyProtection="1">
      <alignment horizontal="center"/>
      <protection locked="0"/>
    </xf>
    <xf numFmtId="0" fontId="9" fillId="0" borderId="0" xfId="0" applyFont="1" applyProtection="1">
      <protection locked="0"/>
    </xf>
    <xf numFmtId="0" fontId="10" fillId="0" borderId="24" xfId="0" applyFont="1" applyBorder="1" applyAlignment="1" applyProtection="1">
      <alignment horizontal="left" vertical="center"/>
      <protection locked="0"/>
    </xf>
    <xf numFmtId="0" fontId="9" fillId="0" borderId="25" xfId="0" applyFont="1" applyBorder="1" applyAlignment="1" applyProtection="1">
      <alignment vertical="center"/>
      <protection locked="0"/>
    </xf>
    <xf numFmtId="0" fontId="9" fillId="0" borderId="26" xfId="0" applyFont="1" applyBorder="1" applyAlignment="1" applyProtection="1">
      <alignment vertical="center"/>
      <protection locked="0"/>
    </xf>
    <xf numFmtId="0" fontId="9" fillId="0" borderId="23" xfId="0" applyFont="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0" xfId="0" applyFont="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165" fontId="5" fillId="0" borderId="0" xfId="0" applyNumberFormat="1" applyFont="1" applyAlignment="1" applyProtection="1">
      <alignment horizontal="center" vertical="center"/>
      <protection locked="0"/>
    </xf>
    <xf numFmtId="0" fontId="14" fillId="0" borderId="23" xfId="0" applyFont="1" applyBorder="1" applyProtection="1">
      <protection locked="0"/>
    </xf>
    <xf numFmtId="165" fontId="9" fillId="0" borderId="0" xfId="0" applyNumberFormat="1" applyFont="1" applyAlignment="1" applyProtection="1">
      <alignment horizontal="center" vertical="center"/>
      <protection locked="0"/>
    </xf>
    <xf numFmtId="165" fontId="10" fillId="0" borderId="0" xfId="0" applyNumberFormat="1" applyFont="1" applyAlignment="1" applyProtection="1">
      <alignment horizontal="center" vertical="center"/>
      <protection locked="0"/>
    </xf>
    <xf numFmtId="0" fontId="11" fillId="0" borderId="23" xfId="0" applyFont="1" applyBorder="1" applyAlignment="1" applyProtection="1">
      <alignment vertical="center"/>
      <protection locked="0"/>
    </xf>
    <xf numFmtId="0" fontId="9" fillId="0" borderId="22" xfId="0" applyFont="1" applyBorder="1" applyProtection="1">
      <protection locked="0"/>
    </xf>
    <xf numFmtId="0" fontId="10" fillId="0" borderId="23" xfId="0" applyFont="1" applyBorder="1" applyAlignment="1" applyProtection="1">
      <alignment horizontal="left" vertical="center"/>
      <protection locked="0"/>
    </xf>
    <xf numFmtId="0" fontId="10" fillId="0" borderId="23" xfId="0" applyFont="1" applyBorder="1" applyAlignment="1" applyProtection="1">
      <alignment vertical="center"/>
      <protection locked="0"/>
    </xf>
    <xf numFmtId="0" fontId="9" fillId="0" borderId="23"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165" fontId="5" fillId="3" borderId="28" xfId="0" applyNumberFormat="1" applyFont="1" applyFill="1" applyBorder="1" applyAlignment="1" applyProtection="1">
      <alignment horizontal="center"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37" xfId="0" applyFont="1" applyBorder="1" applyAlignment="1" applyProtection="1">
      <alignment vertical="center"/>
      <protection locked="0"/>
    </xf>
    <xf numFmtId="0" fontId="9" fillId="0" borderId="38" xfId="0" applyFont="1" applyBorder="1" applyAlignment="1" applyProtection="1">
      <alignment vertical="center"/>
      <protection locked="0"/>
    </xf>
    <xf numFmtId="0" fontId="14" fillId="0" borderId="16" xfId="0" applyFont="1" applyBorder="1" applyProtection="1">
      <protection locked="0"/>
    </xf>
    <xf numFmtId="0" fontId="9" fillId="0" borderId="14" xfId="0" applyFont="1" applyBorder="1" applyAlignment="1" applyProtection="1">
      <alignment horizontal="center" vertical="center"/>
      <protection locked="0"/>
    </xf>
    <xf numFmtId="0" fontId="10" fillId="0" borderId="37" xfId="0" applyFont="1" applyBorder="1" applyAlignment="1" applyProtection="1">
      <alignment horizontal="left" vertical="center"/>
      <protection locked="0"/>
    </xf>
    <xf numFmtId="0" fontId="9" fillId="0" borderId="31" xfId="0" applyFont="1" applyBorder="1" applyAlignment="1" applyProtection="1">
      <alignment horizontal="center" vertical="center"/>
      <protection locked="0"/>
    </xf>
    <xf numFmtId="0" fontId="14" fillId="0" borderId="0" xfId="0" applyFont="1" applyProtection="1">
      <protection locked="0"/>
    </xf>
    <xf numFmtId="0" fontId="9" fillId="2" borderId="0" xfId="0" applyFont="1" applyFill="1" applyAlignment="1">
      <alignment horizontal="left" vertical="top"/>
    </xf>
    <xf numFmtId="49" fontId="9" fillId="2" borderId="0" xfId="0" applyNumberFormat="1" applyFont="1" applyFill="1" applyAlignment="1">
      <alignment horizontal="left" vertical="top"/>
    </xf>
    <xf numFmtId="0" fontId="9"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xf numFmtId="0" fontId="10" fillId="2" borderId="0" xfId="0" applyFont="1" applyFill="1" applyAlignment="1">
      <alignment vertical="top"/>
    </xf>
    <xf numFmtId="0" fontId="10" fillId="2" borderId="0" xfId="0" applyFont="1" applyFill="1" applyAlignment="1">
      <alignment horizontal="left" vertical="top" wrapText="1"/>
    </xf>
    <xf numFmtId="0" fontId="9" fillId="0" borderId="0" xfId="0" applyFont="1" applyAlignment="1">
      <alignment wrapText="1"/>
    </xf>
    <xf numFmtId="0" fontId="9" fillId="0" borderId="0" xfId="0" applyFont="1" applyAlignment="1">
      <alignment vertical="top"/>
    </xf>
    <xf numFmtId="0" fontId="4" fillId="2" borderId="0" xfId="0" quotePrefix="1" applyFont="1" applyFill="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left" vertical="top" wrapText="1"/>
    </xf>
    <xf numFmtId="0" fontId="4" fillId="0" borderId="0" xfId="0" quotePrefix="1" applyFont="1" applyAlignment="1">
      <alignment horizontal="left" wrapText="1"/>
    </xf>
    <xf numFmtId="0" fontId="4" fillId="0" borderId="0" xfId="0" applyFont="1" applyAlignment="1">
      <alignment wrapText="1"/>
    </xf>
    <xf numFmtId="0" fontId="10" fillId="0" borderId="0" xfId="0" applyFont="1" applyAlignment="1">
      <alignment vertical="top"/>
    </xf>
    <xf numFmtId="0" fontId="10" fillId="2" borderId="0" xfId="0" applyFont="1" applyFill="1" applyAlignment="1">
      <alignment horizontal="left" vertical="top" wrapText="1"/>
    </xf>
    <xf numFmtId="0" fontId="10" fillId="2" borderId="0" xfId="0" applyFont="1" applyFill="1" applyAlignment="1">
      <alignment horizontal="center" wrapText="1"/>
    </xf>
    <xf numFmtId="0" fontId="9"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left" wrapText="1"/>
    </xf>
    <xf numFmtId="0" fontId="9" fillId="2" borderId="0" xfId="0" applyFont="1" applyFill="1" applyAlignment="1">
      <alignment horizontal="left" wrapText="1"/>
    </xf>
    <xf numFmtId="0" fontId="16" fillId="2" borderId="0" xfId="0" applyFont="1" applyFill="1" applyAlignment="1">
      <alignment horizontal="left" vertical="center" wrapText="1"/>
    </xf>
    <xf numFmtId="0" fontId="10" fillId="2" borderId="0" xfId="0" applyFont="1" applyFill="1" applyAlignment="1">
      <alignment horizontal="left" wrapText="1"/>
    </xf>
    <xf numFmtId="0" fontId="10" fillId="0" borderId="0" xfId="0" applyFont="1" applyAlignment="1">
      <alignment horizontal="center"/>
    </xf>
    <xf numFmtId="0" fontId="10" fillId="0" borderId="1" xfId="0" applyFont="1" applyBorder="1" applyAlignment="1">
      <alignment horizontal="center"/>
    </xf>
    <xf numFmtId="0" fontId="10" fillId="0" borderId="3" xfId="0" applyFont="1" applyBorder="1" applyAlignment="1">
      <alignment horizontal="center"/>
    </xf>
    <xf numFmtId="0" fontId="10" fillId="0" borderId="34" xfId="0" applyFont="1" applyBorder="1" applyAlignment="1">
      <alignment horizontal="center"/>
    </xf>
    <xf numFmtId="0" fontId="10" fillId="0" borderId="35" xfId="0" applyFont="1" applyBorder="1" applyAlignment="1">
      <alignment horizontal="center"/>
    </xf>
    <xf numFmtId="0" fontId="10" fillId="0" borderId="36" xfId="0" applyFont="1" applyBorder="1" applyAlignment="1">
      <alignment horizontal="center"/>
    </xf>
    <xf numFmtId="0" fontId="10" fillId="0" borderId="0" xfId="0" applyFont="1" applyAlignment="1">
      <alignment horizontal="right" vertical="center" textRotation="90"/>
    </xf>
    <xf numFmtId="0" fontId="10" fillId="0" borderId="37" xfId="0" applyFont="1" applyBorder="1" applyAlignment="1" applyProtection="1">
      <alignment horizontal="center" wrapText="1"/>
      <protection locked="0"/>
    </xf>
    <xf numFmtId="0" fontId="10" fillId="0" borderId="31" xfId="0" applyFont="1" applyBorder="1" applyAlignment="1" applyProtection="1">
      <alignment horizontal="center" wrapText="1"/>
      <protection locked="0"/>
    </xf>
    <xf numFmtId="0" fontId="10" fillId="0" borderId="38" xfId="0" applyFont="1" applyBorder="1" applyAlignment="1" applyProtection="1">
      <alignment horizontal="center" wrapText="1"/>
      <protection locked="0"/>
    </xf>
    <xf numFmtId="0" fontId="10" fillId="0" borderId="13" xfId="0" applyFont="1" applyBorder="1" applyAlignment="1" applyProtection="1">
      <alignment horizontal="center" wrapText="1"/>
      <protection locked="0"/>
    </xf>
    <xf numFmtId="0" fontId="10" fillId="0" borderId="14" xfId="0"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0" fontId="3" fillId="0" borderId="37"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4" fillId="2" borderId="0" xfId="0" quotePrefix="1" applyFont="1" applyFill="1" applyAlignment="1">
      <alignment horizontal="left" vertical="center" wrapText="1"/>
    </xf>
    <xf numFmtId="0" fontId="4" fillId="0" borderId="0" xfId="0" applyFont="1" applyAlignment="1">
      <alignment horizontal="left" vertical="center"/>
    </xf>
    <xf numFmtId="0" fontId="4" fillId="0" borderId="0" xfId="0" quotePrefix="1"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xf>
    <xf numFmtId="0" fontId="10" fillId="2" borderId="0" xfId="0" applyFont="1" applyFill="1" applyAlignment="1">
      <alignment horizontal="center" vertical="top" wrapText="1"/>
    </xf>
    <xf numFmtId="0" fontId="10" fillId="0" borderId="37" xfId="0" applyFont="1" applyBorder="1" applyAlignment="1" applyProtection="1">
      <alignment horizontal="center" wrapText="1"/>
      <protection hidden="1"/>
    </xf>
    <xf numFmtId="0" fontId="10" fillId="0" borderId="31" xfId="0" applyFont="1" applyBorder="1" applyAlignment="1" applyProtection="1">
      <alignment horizontal="center"/>
      <protection hidden="1"/>
    </xf>
    <xf numFmtId="0" fontId="10" fillId="0" borderId="38"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15" xfId="0" applyFont="1" applyBorder="1" applyAlignment="1" applyProtection="1">
      <alignment horizontal="center"/>
      <protection hidden="1"/>
    </xf>
    <xf numFmtId="0" fontId="11" fillId="0" borderId="23" xfId="0" applyFont="1" applyBorder="1" applyProtection="1">
      <protection hidden="1"/>
    </xf>
    <xf numFmtId="0" fontId="9" fillId="4" borderId="0" xfId="0" applyFont="1" applyFill="1" applyProtection="1">
      <protection hidden="1"/>
    </xf>
    <xf numFmtId="0" fontId="9" fillId="0" borderId="7" xfId="0" applyFont="1" applyBorder="1" applyProtection="1">
      <protection hidden="1"/>
    </xf>
    <xf numFmtId="0" fontId="10" fillId="0" borderId="32" xfId="0" applyFont="1" applyBorder="1" applyAlignment="1" applyProtection="1">
      <alignment horizontal="center" vertical="center"/>
      <protection hidden="1"/>
    </xf>
    <xf numFmtId="0" fontId="10" fillId="4" borderId="39" xfId="0" applyFont="1" applyFill="1" applyBorder="1" applyAlignment="1" applyProtection="1">
      <alignment horizontal="center" vertical="center"/>
      <protection hidden="1"/>
    </xf>
    <xf numFmtId="0" fontId="10" fillId="4" borderId="40" xfId="0" applyFont="1" applyFill="1" applyBorder="1" applyAlignment="1" applyProtection="1">
      <alignment horizontal="center" vertical="center"/>
      <protection hidden="1"/>
    </xf>
    <xf numFmtId="0" fontId="10" fillId="4" borderId="41" xfId="0" applyFont="1" applyFill="1" applyBorder="1" applyAlignment="1" applyProtection="1">
      <alignment horizontal="center" vertical="center"/>
      <protection hidden="1"/>
    </xf>
    <xf numFmtId="0" fontId="10" fillId="0" borderId="33" xfId="0" applyFont="1" applyBorder="1" applyAlignment="1" applyProtection="1">
      <alignment horizontal="center" vertical="center" wrapText="1"/>
      <protection hidden="1"/>
    </xf>
    <xf numFmtId="0" fontId="10" fillId="0" borderId="19" xfId="0" applyFont="1" applyBorder="1" applyAlignment="1" applyProtection="1">
      <alignment horizontal="center" vertical="center"/>
      <protection hidden="1"/>
    </xf>
    <xf numFmtId="0" fontId="10" fillId="4" borderId="20" xfId="0" applyFont="1" applyFill="1" applyBorder="1" applyAlignment="1" applyProtection="1">
      <alignment horizontal="center" vertical="center"/>
      <protection hidden="1"/>
    </xf>
    <xf numFmtId="0" fontId="10" fillId="0" borderId="21" xfId="0" applyFont="1" applyBorder="1" applyAlignment="1" applyProtection="1">
      <alignment horizontal="center" vertical="center" wrapText="1"/>
      <protection hidden="1"/>
    </xf>
    <xf numFmtId="1" fontId="9" fillId="0" borderId="1" xfId="0" applyNumberFormat="1" applyFont="1" applyBorder="1" applyAlignment="1" applyProtection="1">
      <alignment horizontal="center"/>
      <protection hidden="1"/>
    </xf>
    <xf numFmtId="168" fontId="9" fillId="4" borderId="2" xfId="0" applyNumberFormat="1" applyFont="1" applyFill="1" applyBorder="1" applyAlignment="1" applyProtection="1">
      <alignment horizontal="center"/>
      <protection hidden="1"/>
    </xf>
    <xf numFmtId="168" fontId="9" fillId="0" borderId="3" xfId="0" applyNumberFormat="1" applyFont="1" applyBorder="1" applyAlignment="1" applyProtection="1">
      <alignment horizontal="center"/>
      <protection hidden="1"/>
    </xf>
    <xf numFmtId="0" fontId="9" fillId="0" borderId="4" xfId="0" applyFont="1" applyBorder="1" applyAlignment="1" applyProtection="1">
      <alignment horizontal="center"/>
      <protection hidden="1"/>
    </xf>
    <xf numFmtId="168" fontId="9" fillId="4" borderId="5" xfId="0" applyNumberFormat="1" applyFont="1" applyFill="1" applyBorder="1" applyAlignment="1" applyProtection="1">
      <alignment horizontal="center"/>
      <protection hidden="1"/>
    </xf>
    <xf numFmtId="168" fontId="9" fillId="0" borderId="6" xfId="0" applyNumberFormat="1" applyFont="1" applyBorder="1" applyAlignment="1" applyProtection="1">
      <alignment horizontal="center"/>
      <protection hidden="1"/>
    </xf>
    <xf numFmtId="168" fontId="9" fillId="4" borderId="8" xfId="0" applyNumberFormat="1" applyFont="1" applyFill="1" applyBorder="1" applyAlignment="1" applyProtection="1">
      <alignment horizontal="center"/>
      <protection hidden="1"/>
    </xf>
    <xf numFmtId="168" fontId="9" fillId="0" borderId="9" xfId="0" applyNumberFormat="1" applyFont="1" applyBorder="1" applyAlignment="1" applyProtection="1">
      <alignment horizontal="center"/>
      <protection hidden="1"/>
    </xf>
    <xf numFmtId="0" fontId="9" fillId="0" borderId="10" xfId="0" applyFont="1" applyBorder="1" applyAlignment="1" applyProtection="1">
      <alignment horizontal="center"/>
      <protection hidden="1"/>
    </xf>
    <xf numFmtId="168" fontId="9" fillId="4" borderId="11" xfId="0" applyNumberFormat="1" applyFont="1" applyFill="1" applyBorder="1" applyAlignment="1" applyProtection="1">
      <alignment horizontal="center"/>
      <protection hidden="1"/>
    </xf>
    <xf numFmtId="168" fontId="9" fillId="0" borderId="12" xfId="0" applyNumberFormat="1" applyFont="1" applyBorder="1" applyAlignment="1" applyProtection="1">
      <alignment horizontal="center"/>
      <protection hidden="1"/>
    </xf>
    <xf numFmtId="0" fontId="10" fillId="0" borderId="24" xfId="0" applyFont="1" applyBorder="1" applyAlignment="1" applyProtection="1">
      <alignment horizontal="right"/>
      <protection hidden="1"/>
    </xf>
    <xf numFmtId="0" fontId="9" fillId="4" borderId="14" xfId="0" applyFont="1" applyFill="1" applyBorder="1" applyProtection="1">
      <protection hidden="1"/>
    </xf>
    <xf numFmtId="165" fontId="9" fillId="0" borderId="15" xfId="0" applyNumberFormat="1" applyFont="1" applyBorder="1" applyProtection="1">
      <protection hidden="1"/>
    </xf>
    <xf numFmtId="0" fontId="13" fillId="0" borderId="0" xfId="0" applyFont="1" applyProtection="1">
      <protection hidden="1"/>
    </xf>
    <xf numFmtId="0" fontId="9" fillId="0" borderId="0" xfId="0" applyFont="1" applyProtection="1">
      <protection hidden="1"/>
    </xf>
    <xf numFmtId="0" fontId="9" fillId="0" borderId="0" xfId="0" applyFont="1" applyAlignment="1" applyProtection="1">
      <alignment horizontal="left"/>
      <protection hidden="1"/>
    </xf>
    <xf numFmtId="0" fontId="9" fillId="4" borderId="0" xfId="0" applyFont="1" applyFill="1" applyAlignment="1" applyProtection="1">
      <alignment wrapText="1"/>
      <protection hidden="1"/>
    </xf>
    <xf numFmtId="0" fontId="9" fillId="0" borderId="0" xfId="0" applyFont="1" applyAlignment="1" applyProtection="1">
      <alignment wrapText="1"/>
      <protection hidden="1"/>
    </xf>
    <xf numFmtId="0" fontId="9" fillId="0" borderId="0" xfId="0" applyFont="1" applyAlignment="1" applyProtection="1">
      <alignment horizontal="center" vertical="center"/>
      <protection hidden="1"/>
    </xf>
    <xf numFmtId="0" fontId="12" fillId="4" borderId="0" xfId="0" applyFont="1" applyFill="1" applyAlignment="1" applyProtection="1">
      <alignment horizontal="center" vertical="center"/>
      <protection hidden="1"/>
    </xf>
    <xf numFmtId="0" fontId="12" fillId="4" borderId="0" xfId="0" applyFont="1" applyFill="1" applyAlignment="1" applyProtection="1">
      <alignment horizontal="center"/>
      <protection hidden="1"/>
    </xf>
    <xf numFmtId="0" fontId="9" fillId="4" borderId="0" xfId="0" applyFont="1"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0" fontId="9" fillId="0" borderId="0" xfId="0" applyFont="1" applyAlignment="1" applyProtection="1">
      <alignment horizontal="center"/>
      <protection hidden="1"/>
    </xf>
    <xf numFmtId="0" fontId="9" fillId="4" borderId="0" xfId="0" applyFont="1" applyFill="1" applyAlignment="1" applyProtection="1">
      <alignment horizontal="center" vertical="top"/>
      <protection hidden="1"/>
    </xf>
    <xf numFmtId="0" fontId="9" fillId="0" borderId="0" xfId="0" applyFont="1" applyAlignment="1" applyProtection="1">
      <alignment horizontal="center" vertical="top"/>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left" wrapText="1"/>
      <protection hidden="1"/>
    </xf>
    <xf numFmtId="0" fontId="10" fillId="0" borderId="25" xfId="0" applyFont="1" applyBorder="1" applyAlignment="1" applyProtection="1">
      <alignment horizontal="right"/>
      <protection hidden="1"/>
    </xf>
  </cellXfs>
  <cellStyles count="2">
    <cellStyle name="Comma" xfId="1" builtinId="3"/>
    <cellStyle name="Normal" xfId="0" builtinId="0"/>
  </cellStyles>
  <dxfs count="1">
    <dxf>
      <fill>
        <patternFill patternType="none">
          <fgColor rgb="FF000000"/>
          <bgColor rgb="FFFFFFFF"/>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wmf"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wmf" />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1.wmf" />
</Relationships>
</file>

<file path=xl/drawings/drawing1.xml><?xml version="1.0" encoding="utf-8"?>
<xdr:wsDr xmlns:xdr="http://schemas.openxmlformats.org/drawingml/2006/spreadsheetDrawing" xmlns:a="http://schemas.openxmlformats.org/drawingml/2006/main">
  <xdr:twoCellAnchor>
    <xdr:from>
      <xdr:col>1</xdr:col>
      <xdr:colOff>2137128</xdr:colOff>
      <xdr:row>0</xdr:row>
      <xdr:rowOff>4939</xdr:rowOff>
    </xdr:from>
    <xdr:to>
      <xdr:col>3</xdr:col>
      <xdr:colOff>16228</xdr:colOff>
      <xdr:row>1</xdr:row>
      <xdr:rowOff>519289</xdr:rowOff>
    </xdr:to>
    <xdr:pic>
      <xdr:nvPicPr>
        <xdr:cNvPr id="2059" name="Picture 1">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749572" y="4939"/>
          <a:ext cx="1018823" cy="747183"/>
        </a:xfrm>
        <a:prstGeom prst="rect">
          <a:avLst/>
        </a:prstGeom>
        <a:noFill/>
        <a:ln w="9525">
          <a:noFill/>
          <a:miter lim="800000"/>
          <a:headEnd/>
          <a:tailEnd/>
        </a:ln>
      </xdr:spPr>
    </xdr:pic>
    <xdr:clientData/>
  </xdr:twoCellAnchor>
  <xdr:twoCellAnchor>
    <xdr:from>
      <xdr:col>9</xdr:col>
      <xdr:colOff>3344333</xdr:colOff>
      <xdr:row>0</xdr:row>
      <xdr:rowOff>0</xdr:rowOff>
    </xdr:from>
    <xdr:to>
      <xdr:col>9</xdr:col>
      <xdr:colOff>4261908</xdr:colOff>
      <xdr:row>1</xdr:row>
      <xdr:rowOff>514350</xdr:rowOff>
    </xdr:to>
    <xdr:pic>
      <xdr:nvPicPr>
        <xdr:cNvPr id="4" name="Picture 1">
          <a:extLst>
            <a:ext uri="{FF2B5EF4-FFF2-40B4-BE49-F238E27FC236}">
              <a16:creationId xmlns:a16="http://schemas.microsoft.com/office/drawing/2014/main" id="{0F57025E-FDAD-4BD3-8B27-CEC629844C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858750" y="0"/>
          <a:ext cx="917575" cy="75776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2133600</xdr:colOff>
      <xdr:row>0</xdr:row>
      <xdr:rowOff>31750</xdr:rowOff>
    </xdr:from>
    <xdr:to>
      <xdr:col>3</xdr:col>
      <xdr:colOff>12700</xdr:colOff>
      <xdr:row>1</xdr:row>
      <xdr:rowOff>546100</xdr:rowOff>
    </xdr:to>
    <xdr:pic>
      <xdr:nvPicPr>
        <xdr:cNvPr id="2" name="Picture 1">
          <a:extLst>
            <a:ext uri="{FF2B5EF4-FFF2-40B4-BE49-F238E27FC236}">
              <a16:creationId xmlns:a16="http://schemas.microsoft.com/office/drawing/2014/main" id="{0162C579-9296-406B-BC8E-5899492B8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651500" y="31750"/>
          <a:ext cx="946150" cy="749300"/>
        </a:xfrm>
        <a:prstGeom prst="rect">
          <a:avLst/>
        </a:prstGeom>
        <a:noFill/>
        <a:ln w="9525">
          <a:noFill/>
          <a:miter lim="800000"/>
          <a:headEnd/>
          <a:tailEnd/>
        </a:ln>
      </xdr:spPr>
    </xdr:pic>
    <xdr:clientData/>
  </xdr:twoCellAnchor>
  <xdr:twoCellAnchor>
    <xdr:from>
      <xdr:col>9</xdr:col>
      <xdr:colOff>3556000</xdr:colOff>
      <xdr:row>0</xdr:row>
      <xdr:rowOff>19050</xdr:rowOff>
    </xdr:from>
    <xdr:to>
      <xdr:col>10</xdr:col>
      <xdr:colOff>40219</xdr:colOff>
      <xdr:row>1</xdr:row>
      <xdr:rowOff>533400</xdr:rowOff>
    </xdr:to>
    <xdr:pic>
      <xdr:nvPicPr>
        <xdr:cNvPr id="3" name="Picture 1">
          <a:extLst>
            <a:ext uri="{FF2B5EF4-FFF2-40B4-BE49-F238E27FC236}">
              <a16:creationId xmlns:a16="http://schemas.microsoft.com/office/drawing/2014/main" id="{1AFC6FF2-CCFC-4568-A90C-B0354E7381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65050" y="19050"/>
          <a:ext cx="865719" cy="7493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2133600</xdr:colOff>
      <xdr:row>0</xdr:row>
      <xdr:rowOff>31750</xdr:rowOff>
    </xdr:from>
    <xdr:to>
      <xdr:col>3</xdr:col>
      <xdr:colOff>12700</xdr:colOff>
      <xdr:row>1</xdr:row>
      <xdr:rowOff>546100</xdr:rowOff>
    </xdr:to>
    <xdr:pic>
      <xdr:nvPicPr>
        <xdr:cNvPr id="2" name="Picture 1">
          <a:extLst>
            <a:ext uri="{FF2B5EF4-FFF2-40B4-BE49-F238E27FC236}">
              <a16:creationId xmlns:a16="http://schemas.microsoft.com/office/drawing/2014/main" id="{80935BF6-D7D1-4AC0-A728-1777AABC14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651500" y="31750"/>
          <a:ext cx="946150" cy="749300"/>
        </a:xfrm>
        <a:prstGeom prst="rect">
          <a:avLst/>
        </a:prstGeom>
        <a:noFill/>
        <a:ln w="9525">
          <a:noFill/>
          <a:miter lim="800000"/>
          <a:headEnd/>
          <a:tailEnd/>
        </a:ln>
      </xdr:spPr>
    </xdr:pic>
    <xdr:clientData/>
  </xdr:twoCellAnchor>
  <xdr:twoCellAnchor>
    <xdr:from>
      <xdr:col>9</xdr:col>
      <xdr:colOff>3556000</xdr:colOff>
      <xdr:row>0</xdr:row>
      <xdr:rowOff>19050</xdr:rowOff>
    </xdr:from>
    <xdr:to>
      <xdr:col>10</xdr:col>
      <xdr:colOff>40219</xdr:colOff>
      <xdr:row>1</xdr:row>
      <xdr:rowOff>533400</xdr:rowOff>
    </xdr:to>
    <xdr:pic>
      <xdr:nvPicPr>
        <xdr:cNvPr id="3" name="Picture 1">
          <a:extLst>
            <a:ext uri="{FF2B5EF4-FFF2-40B4-BE49-F238E27FC236}">
              <a16:creationId xmlns:a16="http://schemas.microsoft.com/office/drawing/2014/main" id="{34686873-A993-47B1-AFFD-84927890D5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65050" y="19050"/>
          <a:ext cx="865719" cy="7493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129886</xdr:colOff>
      <xdr:row>7</xdr:row>
      <xdr:rowOff>8659</xdr:rowOff>
    </xdr:from>
    <xdr:to>
      <xdr:col>2</xdr:col>
      <xdr:colOff>291811</xdr:colOff>
      <xdr:row>12</xdr:row>
      <xdr:rowOff>25977</xdr:rowOff>
    </xdr:to>
    <xdr:sp macro="" textlink="">
      <xdr:nvSpPr>
        <xdr:cNvPr id="2" name="Right Brace 1">
          <a:extLst>
            <a:ext uri="{FF2B5EF4-FFF2-40B4-BE49-F238E27FC236}">
              <a16:creationId xmlns:a16="http://schemas.microsoft.com/office/drawing/2014/main" id="{00000000-0008-0000-0200-000002000000}"/>
            </a:ext>
          </a:extLst>
        </xdr:cNvPr>
        <xdr:cNvSpPr/>
      </xdr:nvSpPr>
      <xdr:spPr>
        <a:xfrm>
          <a:off x="2770909" y="1818409"/>
          <a:ext cx="161925" cy="8399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46"/>
  <sheetViews>
    <sheetView zoomScale="110" zoomScaleNormal="110" workbookViewId="0">
      <selection activeCell="A3" sqref="A3:I3"/>
    </sheetView>
  </sheetViews>
  <sheetFormatPr defaultColWidth="8.83203125" defaultRowHeight="12.5" x14ac:dyDescent="0.25"/>
  <cols>
    <col min="1" max="1" width="3.08203125" style="95" customWidth="1"/>
    <col min="2" max="2" width="9" style="2" customWidth="1"/>
    <col min="3" max="4" width="8.83203125" style="2"/>
    <col min="5" max="5" width="8.83203125" style="2" customWidth="1"/>
    <col min="6" max="16384" width="8.83203125" style="2"/>
  </cols>
  <sheetData>
    <row r="1" spans="1:9" ht="15.75" customHeight="1" x14ac:dyDescent="0.25">
      <c r="A1" s="112" t="s">
        <v>101</v>
      </c>
      <c r="B1" s="112"/>
      <c r="C1" s="112"/>
      <c r="D1" s="112"/>
      <c r="E1" s="112"/>
      <c r="F1" s="112"/>
      <c r="G1" s="112"/>
      <c r="H1" s="112"/>
      <c r="I1" s="112"/>
    </row>
    <row r="2" spans="1:9" ht="23.15" customHeight="1" x14ac:dyDescent="0.25">
      <c r="A2" s="112"/>
      <c r="B2" s="112"/>
      <c r="C2" s="112"/>
      <c r="D2" s="112"/>
      <c r="E2" s="112"/>
      <c r="F2" s="112"/>
      <c r="G2" s="112"/>
      <c r="H2" s="112"/>
      <c r="I2" s="112"/>
    </row>
    <row r="3" spans="1:9" ht="42" customHeight="1" x14ac:dyDescent="0.25">
      <c r="A3" s="117" t="s">
        <v>57</v>
      </c>
      <c r="B3" s="117"/>
      <c r="C3" s="117"/>
      <c r="D3" s="117"/>
      <c r="E3" s="117"/>
      <c r="F3" s="117"/>
      <c r="G3" s="117"/>
      <c r="H3" s="117"/>
      <c r="I3" s="117"/>
    </row>
    <row r="5" spans="1:9" ht="12.75" customHeight="1" x14ac:dyDescent="0.25">
      <c r="A5" s="94">
        <v>1</v>
      </c>
      <c r="B5" s="113" t="s">
        <v>68</v>
      </c>
      <c r="C5" s="113"/>
      <c r="D5" s="113"/>
      <c r="E5" s="113"/>
      <c r="F5" s="113"/>
      <c r="G5" s="113"/>
      <c r="H5" s="113"/>
      <c r="I5" s="113"/>
    </row>
    <row r="6" spans="1:9" x14ac:dyDescent="0.25">
      <c r="B6" s="113"/>
      <c r="C6" s="113"/>
      <c r="D6" s="113"/>
      <c r="E6" s="113"/>
      <c r="F6" s="113"/>
      <c r="G6" s="113"/>
      <c r="H6" s="113"/>
      <c r="I6" s="113"/>
    </row>
    <row r="7" spans="1:9" x14ac:dyDescent="0.25">
      <c r="B7" s="113"/>
      <c r="C7" s="113"/>
      <c r="D7" s="113"/>
      <c r="E7" s="113"/>
      <c r="F7" s="113"/>
      <c r="G7" s="113"/>
      <c r="H7" s="113"/>
      <c r="I7" s="113"/>
    </row>
    <row r="8" spans="1:9" x14ac:dyDescent="0.25">
      <c r="B8" s="96"/>
      <c r="C8" s="96"/>
      <c r="D8" s="96"/>
      <c r="E8" s="96"/>
      <c r="F8" s="96"/>
      <c r="G8" s="96"/>
      <c r="H8" s="96"/>
      <c r="I8" s="96"/>
    </row>
    <row r="9" spans="1:9" ht="12.75" customHeight="1" x14ac:dyDescent="0.25">
      <c r="A9" s="95" t="s">
        <v>34</v>
      </c>
      <c r="B9" s="113" t="s">
        <v>29</v>
      </c>
      <c r="C9" s="113"/>
      <c r="D9" s="113"/>
      <c r="E9" s="113"/>
      <c r="F9" s="113"/>
      <c r="G9" s="113"/>
      <c r="H9" s="113"/>
      <c r="I9" s="113"/>
    </row>
    <row r="10" spans="1:9" x14ac:dyDescent="0.25">
      <c r="B10" s="113"/>
      <c r="C10" s="113"/>
      <c r="D10" s="113"/>
      <c r="E10" s="113"/>
      <c r="F10" s="113"/>
      <c r="G10" s="113"/>
      <c r="H10" s="113"/>
      <c r="I10" s="113"/>
    </row>
    <row r="11" spans="1:9" x14ac:dyDescent="0.25">
      <c r="B11" s="97"/>
      <c r="C11" s="97"/>
      <c r="D11" s="97"/>
      <c r="E11" s="97"/>
      <c r="F11" s="97"/>
      <c r="G11" s="97"/>
      <c r="H11" s="97"/>
      <c r="I11" s="97"/>
    </row>
    <row r="12" spans="1:9" ht="13" x14ac:dyDescent="0.3">
      <c r="A12" s="94">
        <v>3</v>
      </c>
      <c r="B12" s="2" t="s">
        <v>93</v>
      </c>
    </row>
    <row r="14" spans="1:9" ht="12.75" customHeight="1" x14ac:dyDescent="0.25">
      <c r="A14" s="95" t="s">
        <v>35</v>
      </c>
      <c r="B14" s="115" t="s">
        <v>87</v>
      </c>
      <c r="C14" s="116"/>
      <c r="D14" s="116"/>
      <c r="E14" s="116"/>
      <c r="F14" s="116"/>
      <c r="G14" s="116"/>
      <c r="H14" s="116"/>
      <c r="I14" s="116"/>
    </row>
    <row r="15" spans="1:9" x14ac:dyDescent="0.25">
      <c r="B15" s="116"/>
      <c r="C15" s="116"/>
      <c r="D15" s="116"/>
      <c r="E15" s="116"/>
      <c r="F15" s="116"/>
      <c r="G15" s="116"/>
      <c r="H15" s="116"/>
      <c r="I15" s="116"/>
    </row>
    <row r="16" spans="1:9" x14ac:dyDescent="0.25">
      <c r="B16" s="116"/>
      <c r="C16" s="116"/>
      <c r="D16" s="116"/>
      <c r="E16" s="116"/>
      <c r="F16" s="116"/>
      <c r="G16" s="116"/>
      <c r="H16" s="116"/>
      <c r="I16" s="116"/>
    </row>
    <row r="17" spans="1:9" x14ac:dyDescent="0.25">
      <c r="B17" s="98"/>
      <c r="C17" s="98"/>
      <c r="D17" s="98"/>
      <c r="E17" s="98"/>
      <c r="F17" s="98"/>
      <c r="G17" s="98"/>
      <c r="H17" s="98"/>
      <c r="I17" s="98"/>
    </row>
    <row r="18" spans="1:9" ht="13" x14ac:dyDescent="0.3">
      <c r="A18" s="95" t="s">
        <v>58</v>
      </c>
      <c r="B18" s="118" t="s">
        <v>59</v>
      </c>
      <c r="C18" s="118"/>
      <c r="D18" s="118"/>
      <c r="E18" s="118"/>
      <c r="F18" s="118"/>
      <c r="G18" s="118"/>
      <c r="H18" s="118"/>
      <c r="I18" s="118"/>
    </row>
    <row r="19" spans="1:9" ht="13" x14ac:dyDescent="0.3">
      <c r="B19" s="100" t="s">
        <v>60</v>
      </c>
      <c r="C19" s="100"/>
      <c r="D19" s="100"/>
      <c r="E19" s="100"/>
      <c r="F19" s="100"/>
      <c r="G19" s="100"/>
      <c r="H19" s="100"/>
      <c r="I19" s="100"/>
    </row>
    <row r="21" spans="1:9" ht="12.75" customHeight="1" x14ac:dyDescent="0.25">
      <c r="A21" s="94">
        <v>6</v>
      </c>
      <c r="B21" s="101" t="s">
        <v>33</v>
      </c>
      <c r="C21" s="96"/>
      <c r="D21" s="96"/>
      <c r="E21" s="96"/>
      <c r="F21" s="96"/>
      <c r="G21" s="96"/>
      <c r="H21" s="96"/>
      <c r="I21" s="96"/>
    </row>
    <row r="22" spans="1:9" x14ac:dyDescent="0.25">
      <c r="B22" s="94" t="s">
        <v>77</v>
      </c>
      <c r="C22" s="96"/>
      <c r="D22" s="96"/>
      <c r="E22" s="96"/>
      <c r="F22" s="96"/>
      <c r="G22" s="96"/>
      <c r="H22" s="96"/>
      <c r="I22" s="96"/>
    </row>
    <row r="23" spans="1:9" x14ac:dyDescent="0.25">
      <c r="B23" s="113" t="s">
        <v>69</v>
      </c>
      <c r="C23" s="113"/>
      <c r="D23" s="113"/>
      <c r="E23" s="113"/>
      <c r="F23" s="113"/>
      <c r="G23" s="113"/>
      <c r="H23" s="113"/>
      <c r="I23" s="113"/>
    </row>
    <row r="24" spans="1:9" x14ac:dyDescent="0.25">
      <c r="B24" s="113"/>
      <c r="C24" s="113"/>
      <c r="D24" s="113"/>
      <c r="E24" s="113"/>
      <c r="F24" s="113"/>
      <c r="G24" s="113"/>
      <c r="H24" s="113"/>
      <c r="I24" s="113"/>
    </row>
    <row r="25" spans="1:9" x14ac:dyDescent="0.25">
      <c r="B25" s="97"/>
      <c r="C25" s="97"/>
      <c r="D25" s="97"/>
      <c r="E25" s="97"/>
      <c r="F25" s="97"/>
      <c r="G25" s="97"/>
      <c r="H25" s="97"/>
      <c r="I25" s="97"/>
    </row>
    <row r="26" spans="1:9" x14ac:dyDescent="0.25">
      <c r="A26" s="94">
        <v>7</v>
      </c>
      <c r="B26" s="111" t="s">
        <v>88</v>
      </c>
      <c r="C26" s="111"/>
      <c r="D26" s="111"/>
      <c r="E26" s="111"/>
      <c r="F26" s="111"/>
      <c r="G26" s="111"/>
      <c r="H26" s="111"/>
      <c r="I26" s="111"/>
    </row>
    <row r="27" spans="1:9" x14ac:dyDescent="0.25">
      <c r="B27" s="111"/>
      <c r="C27" s="111"/>
      <c r="D27" s="111"/>
      <c r="E27" s="111"/>
      <c r="F27" s="111"/>
      <c r="G27" s="111"/>
      <c r="H27" s="111"/>
      <c r="I27" s="111"/>
    </row>
    <row r="28" spans="1:9" ht="13" x14ac:dyDescent="0.25">
      <c r="B28" s="102"/>
      <c r="C28" s="102"/>
      <c r="D28" s="102"/>
      <c r="E28" s="102"/>
      <c r="F28" s="102"/>
      <c r="G28" s="102"/>
      <c r="H28" s="102"/>
      <c r="I28" s="102"/>
    </row>
    <row r="29" spans="1:9" x14ac:dyDescent="0.25">
      <c r="A29" s="95" t="s">
        <v>36</v>
      </c>
      <c r="B29" s="114" t="s">
        <v>99</v>
      </c>
      <c r="C29" s="113"/>
      <c r="D29" s="113"/>
      <c r="E29" s="113"/>
      <c r="F29" s="113"/>
      <c r="G29" s="113"/>
      <c r="H29" s="113"/>
      <c r="I29" s="113"/>
    </row>
    <row r="30" spans="1:9" x14ac:dyDescent="0.25">
      <c r="B30" s="113"/>
      <c r="C30" s="113"/>
      <c r="D30" s="113"/>
      <c r="E30" s="113"/>
      <c r="F30" s="113"/>
      <c r="G30" s="113"/>
      <c r="H30" s="113"/>
      <c r="I30" s="113"/>
    </row>
    <row r="31" spans="1:9" ht="12.75" customHeight="1" x14ac:dyDescent="0.25">
      <c r="B31" s="113"/>
      <c r="C31" s="113"/>
      <c r="D31" s="113"/>
      <c r="E31" s="113"/>
      <c r="F31" s="113"/>
      <c r="G31" s="113"/>
      <c r="H31" s="113"/>
      <c r="I31" s="113"/>
    </row>
    <row r="32" spans="1:9" x14ac:dyDescent="0.25">
      <c r="B32" s="113"/>
      <c r="C32" s="113"/>
      <c r="D32" s="113"/>
      <c r="E32" s="113"/>
      <c r="F32" s="113"/>
      <c r="G32" s="113"/>
      <c r="H32" s="113"/>
      <c r="I32" s="113"/>
    </row>
    <row r="33" spans="1:9" ht="12.75" customHeight="1" x14ac:dyDescent="0.25">
      <c r="A33" s="95" t="s">
        <v>95</v>
      </c>
      <c r="B33" s="114" t="s">
        <v>94</v>
      </c>
      <c r="C33" s="113"/>
      <c r="D33" s="113"/>
      <c r="E33" s="113"/>
      <c r="F33" s="113"/>
      <c r="G33" s="113"/>
      <c r="H33" s="113"/>
      <c r="I33" s="113"/>
    </row>
    <row r="34" spans="1:9" x14ac:dyDescent="0.25">
      <c r="B34" s="113"/>
      <c r="C34" s="113"/>
      <c r="D34" s="113"/>
      <c r="E34" s="113"/>
      <c r="F34" s="113"/>
      <c r="G34" s="113"/>
      <c r="H34" s="113"/>
      <c r="I34" s="113"/>
    </row>
    <row r="35" spans="1:9" x14ac:dyDescent="0.25">
      <c r="B35" s="113"/>
      <c r="C35" s="113"/>
      <c r="D35" s="113"/>
      <c r="E35" s="113"/>
      <c r="F35" s="113"/>
      <c r="G35" s="113"/>
      <c r="H35" s="113"/>
      <c r="I35" s="113"/>
    </row>
    <row r="36" spans="1:9" x14ac:dyDescent="0.25">
      <c r="B36" s="113"/>
      <c r="C36" s="113"/>
      <c r="D36" s="113"/>
      <c r="E36" s="113"/>
      <c r="F36" s="113"/>
      <c r="G36" s="113"/>
      <c r="H36" s="113"/>
      <c r="I36" s="113"/>
    </row>
    <row r="38" spans="1:9" x14ac:dyDescent="0.25">
      <c r="A38" s="94">
        <v>10</v>
      </c>
      <c r="B38" s="111" t="s">
        <v>98</v>
      </c>
      <c r="C38" s="111"/>
      <c r="D38" s="111"/>
      <c r="E38" s="111"/>
      <c r="F38" s="111"/>
      <c r="G38" s="111"/>
      <c r="H38" s="111"/>
      <c r="I38" s="111"/>
    </row>
    <row r="39" spans="1:9" x14ac:dyDescent="0.25">
      <c r="B39" s="111"/>
      <c r="C39" s="111"/>
      <c r="D39" s="111"/>
      <c r="E39" s="111"/>
      <c r="F39" s="111"/>
      <c r="G39" s="111"/>
      <c r="H39" s="111"/>
      <c r="I39" s="111"/>
    </row>
    <row r="46" spans="1:9" x14ac:dyDescent="0.25">
      <c r="B46" s="96"/>
      <c r="C46" s="96"/>
      <c r="D46" s="96"/>
      <c r="E46" s="96"/>
      <c r="F46" s="96"/>
      <c r="G46" s="96"/>
      <c r="H46" s="96"/>
      <c r="I46" s="96"/>
    </row>
  </sheetData>
  <sheetProtection algorithmName="SHA-512" hashValue="V9tNWGSoAf2tkvTt5+SoXhYYZVEsWb907OXHXR/ot8xfRRhfsBZfBMV4hEXbC2Yb9fYsxYVSWNvc1RyOVZOGcw==" saltValue="rPMBlNs3XIbowo9582DBCw==" spinCount="100000" sheet="1"/>
  <mergeCells count="11">
    <mergeCell ref="B38:I39"/>
    <mergeCell ref="A1:I2"/>
    <mergeCell ref="B23:I24"/>
    <mergeCell ref="B26:I27"/>
    <mergeCell ref="B29:I32"/>
    <mergeCell ref="B33:I36"/>
    <mergeCell ref="B14:I16"/>
    <mergeCell ref="B5:I7"/>
    <mergeCell ref="B9:I10"/>
    <mergeCell ref="A3:I3"/>
    <mergeCell ref="B18:I18"/>
  </mergeCells>
  <pageMargins left="0.7" right="0.7" top="0.75" bottom="0.75" header="0.3" footer="0.3"/>
  <ignoredErrors>
    <ignoredError sqref="A9 A14 A18 A29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I51"/>
  <sheetViews>
    <sheetView showGridLines="0" tabSelected="1" topLeftCell="A6" zoomScaleNormal="100" workbookViewId="0">
      <selection activeCell="B31" sqref="B31"/>
    </sheetView>
  </sheetViews>
  <sheetFormatPr defaultColWidth="10.83203125" defaultRowHeight="12.5" x14ac:dyDescent="0.25"/>
  <cols>
    <col min="1" max="1" width="47.33203125" style="64" customWidth="1"/>
    <col min="2" max="2" width="36.08203125" style="64" customWidth="1"/>
    <col min="3" max="4" width="5" style="64" customWidth="1"/>
    <col min="5" max="5" width="31.33203125" style="179" customWidth="1"/>
    <col min="6" max="8" width="10.83203125" style="154" hidden="1" customWidth="1"/>
    <col min="9" max="9" width="11.58203125" style="154" hidden="1" customWidth="1"/>
    <col min="10" max="10" width="55.33203125" style="179" customWidth="1"/>
    <col min="11" max="11" width="10.83203125" style="1" customWidth="1"/>
    <col min="12" max="20" width="10.83203125" style="1" hidden="1" customWidth="1"/>
    <col min="21" max="21" width="31.33203125" style="1" hidden="1" customWidth="1"/>
    <col min="22" max="34" width="10.83203125" style="1" hidden="1" customWidth="1"/>
    <col min="35" max="35" width="10.83203125" style="1"/>
    <col min="36" max="16384" width="10.83203125" style="64"/>
  </cols>
  <sheetData>
    <row r="1" spans="1:22" ht="18.649999999999999" customHeight="1" thickBot="1" x14ac:dyDescent="0.35">
      <c r="A1" s="126" t="s">
        <v>101</v>
      </c>
      <c r="B1" s="127"/>
      <c r="C1" s="128"/>
      <c r="D1" s="63"/>
      <c r="E1" s="147" t="s">
        <v>101</v>
      </c>
      <c r="F1" s="148"/>
      <c r="G1" s="148"/>
      <c r="H1" s="148"/>
      <c r="I1" s="148"/>
      <c r="J1" s="149"/>
    </row>
    <row r="2" spans="1:22" ht="43.5" customHeight="1" thickBot="1" x14ac:dyDescent="0.35">
      <c r="A2" s="129"/>
      <c r="B2" s="130"/>
      <c r="C2" s="131"/>
      <c r="D2" s="63"/>
      <c r="E2" s="150"/>
      <c r="F2" s="151"/>
      <c r="G2" s="151"/>
      <c r="H2" s="151"/>
      <c r="I2" s="151"/>
      <c r="J2" s="152"/>
      <c r="L2" s="124" t="s">
        <v>2</v>
      </c>
      <c r="M2" s="122"/>
      <c r="N2" s="122" t="s">
        <v>4</v>
      </c>
      <c r="O2" s="123"/>
      <c r="R2" s="120" t="s">
        <v>0</v>
      </c>
      <c r="S2" s="121"/>
      <c r="U2" s="17" t="s">
        <v>6</v>
      </c>
      <c r="V2" s="18" t="e">
        <f>IF(B14="Y",(B25-B32-MAX(B29-B26,0))/B20,(B27-B32-B29)/B20)</f>
        <v>#DIV/0!</v>
      </c>
    </row>
    <row r="3" spans="1:22" ht="15" customHeight="1" thickBot="1" x14ac:dyDescent="0.35">
      <c r="A3" s="132" t="s">
        <v>100</v>
      </c>
      <c r="B3" s="133"/>
      <c r="C3" s="134"/>
      <c r="E3" s="153" t="s">
        <v>91</v>
      </c>
      <c r="J3" s="155"/>
      <c r="L3" s="19">
        <v>1</v>
      </c>
      <c r="M3" s="20">
        <v>1</v>
      </c>
      <c r="N3" s="20">
        <v>1</v>
      </c>
      <c r="O3" s="21">
        <v>3</v>
      </c>
      <c r="R3" s="22">
        <v>1</v>
      </c>
      <c r="S3" s="23"/>
      <c r="U3" s="24" t="s">
        <v>15</v>
      </c>
      <c r="V3" s="25">
        <f>IF(B14="Y",B25-B32,B27-B32)</f>
        <v>0</v>
      </c>
    </row>
    <row r="4" spans="1:22" ht="15" customHeight="1" thickBot="1" x14ac:dyDescent="0.35">
      <c r="A4" s="135"/>
      <c r="B4" s="136"/>
      <c r="C4" s="137"/>
      <c r="E4" s="156" t="s">
        <v>0</v>
      </c>
      <c r="F4" s="157" t="s">
        <v>2</v>
      </c>
      <c r="G4" s="158"/>
      <c r="H4" s="158"/>
      <c r="I4" s="159"/>
      <c r="J4" s="160" t="s">
        <v>78</v>
      </c>
      <c r="L4" s="19">
        <v>2</v>
      </c>
      <c r="M4" s="20">
        <v>1</v>
      </c>
      <c r="N4" s="20">
        <v>2</v>
      </c>
      <c r="O4" s="21">
        <v>2</v>
      </c>
      <c r="R4" s="22">
        <v>2</v>
      </c>
      <c r="S4" s="23" t="e">
        <f t="shared" ref="S4:S33" si="0">$E$6+MIN(R3,$B$20/12)</f>
        <v>#VALUE!</v>
      </c>
      <c r="U4" s="26" t="s">
        <v>7</v>
      </c>
      <c r="V4" s="27">
        <f>IF(B14="Y",MAX(B29-B26,0),B29)</f>
        <v>0</v>
      </c>
    </row>
    <row r="5" spans="1:22" ht="15" customHeight="1" thickBot="1" x14ac:dyDescent="0.3">
      <c r="A5" s="135"/>
      <c r="B5" s="136"/>
      <c r="C5" s="137"/>
      <c r="E5" s="161"/>
      <c r="F5" s="162">
        <v>1</v>
      </c>
      <c r="G5" s="162">
        <v>2</v>
      </c>
      <c r="H5" s="162">
        <v>3</v>
      </c>
      <c r="I5" s="162">
        <v>4</v>
      </c>
      <c r="J5" s="163"/>
      <c r="L5" s="19">
        <v>3</v>
      </c>
      <c r="M5" s="20">
        <v>1</v>
      </c>
      <c r="N5" s="20">
        <v>3</v>
      </c>
      <c r="O5" s="21">
        <v>1</v>
      </c>
      <c r="R5" s="22">
        <v>3</v>
      </c>
      <c r="S5" s="23" t="e">
        <f t="shared" si="0"/>
        <v>#VALUE!</v>
      </c>
    </row>
    <row r="6" spans="1:22" ht="15" customHeight="1" thickBot="1" x14ac:dyDescent="0.3">
      <c r="A6" s="135"/>
      <c r="B6" s="136"/>
      <c r="C6" s="137"/>
      <c r="E6" s="164" t="str">
        <f>IF(ISERROR(IF(YEAR(B19)+INDEX(W32:AH43,MATCH(MONTH(B19),V32:V43,0),MATCH(B13,W31:AH31,0))=1901,"",MIN(YEAR(B18)+INDEX(W32:AH43,MATCH(MONTH(B18),V32:V43,0),MATCH(B13,W31:AH31,0)),YEAR(B19)+INDEX(W32:AH43,MATCH(MONTH(B19),V32:V43,0),MATCH(B13,W31:AH31,0))))),"",IF(YEAR(B19)+INDEX(W32:AH43,MATCH(MONTH(B19),V32:V43,0),MATCH(B13,W31:AH31,0))=1901,"",MIN(YEAR(B18)+INDEX(W32:AH43,MATCH(MONTH(B18),V32:V43,0),MATCH(B13,W31:AH31,0)),YEAR(B19)+INDEX(W32:AH43,MATCH(MONTH(B19),V32:V43,0),MATCH(B13,W31:AH31,0)))))</f>
        <v/>
      </c>
      <c r="F6" s="165" t="str">
        <f>IF(ISERROR(ROUND(MIN(IF(AND($V$21=$E$6,$V$13=F5),$V$4,0)+IF(AND($V$17=$E$6,$V$8=F5),$V$2*M29,0),$B$35),0)),"",ROUND(MIN(IF(AND($V$21=$E$6,$V$13=F5),$V$4,0)+IF(AND($V$17=$E$6,$V$8=F5),$V$2*M29,0),$B$35),0))</f>
        <v/>
      </c>
      <c r="G6" s="165" t="str">
        <f>IF(ISERROR(ROUND(MIN(IF(AND($V$21=$E$6,$V$13=G5),$V$4,0)+IF(ISERROR(IF(AND($V$17=$E$6,$V$8=G5),$V$2*N29,0)),0,IF(AND($V$17=$E$6,$V$8=G5),$V$2*N29,0))+IF(AND($V$8&lt;G5,$V$17=$E$6),$V$2*3,0),$B$35-SUM($F$6:F6)),0)),"",ROUND(MIN(IF(AND($V$21=$E$6,$V$13=G5),$V$4,0)+IF(ISERROR(IF(AND($V$17=$E$6,$V$8=G5),$V$2*N29,0)),0,IF(AND($V$17=$E$6,$V$8=G5),$V$2*N29,0))+IF(AND($V$8&lt;G5,$V$17=$E$6),$V$2*3,0),$B$35-SUM($F$6:F6)),0))</f>
        <v/>
      </c>
      <c r="H6" s="165" t="str">
        <f>IF(ISERROR(ROUND(MIN(IF(AND($V$21=$E$6,$V$13=H5),$V$4,0)+IF(ISERROR(IF(AND($V$17=$E$6,$V$8=H5),$V$2*O29,0)),0,IF(AND($V$17=$E$6,$V$8=H5),$V$2*O29,0))+IF(AND($V$8&lt;H5,$V$17=$E$6),$V$2*3,0),$B$35-SUM($F$6:G6)),0)),"",ROUND(MIN(IF(AND($V$21=$E$6,$V$13=H5),$V$4,0)+IF(ISERROR(IF(AND($V$17=$E$6,$V$8=H5),$V$2*O29,0)),0,IF(AND($V$17=$E$6,$V$8=H5),$V$2*O29,0))+IF(AND($V$8&lt;H5,$V$17=$E$6),$V$2*3,0),$B$35-SUM($F$6:G6)),0))</f>
        <v/>
      </c>
      <c r="I6" s="165" t="str">
        <f>IF(ISERROR(ROUND(MIN(IF(AND($V$21=$E$6,$V$13=I5),$V$4,0)+IF(ISERROR(IF(AND($V$17=$E$6,$V$8=I5),$V$2*P29,0)),0,IF(AND($V$17=$E$6,$V$8=I5),$V$2*P29,0))+IF(AND($V$8&lt;I5,$V$17=$E$6),$V$2*3,0),$B$35-SUM($F$6:H6)),0)),"",ROUND(MIN(IF(AND($V$21=$E$6,$V$13=I5),$V$4,0)+IF(ISERROR(IF(AND($V$17=$E$6,$V$8=I5),$V$2*P29,0)),0,IF(AND($V$17=$E$6,$V$8=I5),$V$2*P29,0))+IF(AND($V$8&lt;I5,$V$17=$E$6),$V$2*3,0),$B$35-SUM($F$6:H6)),0))</f>
        <v/>
      </c>
      <c r="J6" s="166">
        <f>SUM(F6:I6)</f>
        <v>0</v>
      </c>
      <c r="L6" s="19">
        <v>4</v>
      </c>
      <c r="M6" s="20">
        <v>2</v>
      </c>
      <c r="N6" s="20">
        <v>4</v>
      </c>
      <c r="O6" s="21">
        <v>3</v>
      </c>
      <c r="R6" s="22">
        <v>4</v>
      </c>
      <c r="S6" s="23" t="e">
        <f t="shared" si="0"/>
        <v>#VALUE!</v>
      </c>
      <c r="U6" s="1" t="s">
        <v>31</v>
      </c>
    </row>
    <row r="7" spans="1:22" ht="15" customHeight="1" x14ac:dyDescent="0.3">
      <c r="A7" s="135"/>
      <c r="B7" s="136"/>
      <c r="C7" s="137"/>
      <c r="E7" s="167" t="str">
        <f>IF(ISERROR(IF(AND(F7="",F7=0,G7="",G7=0,H7="",H7=0,I7="",I7=0),"",IF($V$17=$V$21,E6+1,IF($V$21&gt;$V$17,$V$17+1,$V$17)))),"",IF(AND(F7="",F7=0,G7="",G7=0,H7="",H7=0,I7="",I7=0),"",IF($V$17=$V$21,E6+1,IF($V$21&gt;$V$17,$V$17+1,$V$17))))</f>
        <v/>
      </c>
      <c r="F7" s="168" t="str">
        <f>IF(ISERROR(IF(ROUND(MIN(IF($V$17&lt;&gt;$E$6,IF($V$8=F5,$V$2*M29,0),$V$2*3),$B$35-SUM($J$6:$J6)),0)&lt;0,0,ROUND(MIN(IF($V$17&lt;&gt;$E$6,IF($V$8=F5,$V$2*M29,0),$V$2*3),$B$35-SUM($J$6:$J6)),0))),"",IF(ROUND(MIN(IF($V$17&lt;&gt;$E$6,IF($V$8=F5,$V$2*M29,0),$V$2*3),$B$35-SUM($J$6:$J6)),0)&lt;0,0,ROUND(MIN(IF($V$17&lt;&gt;$E$6,IF($V$8=F5,$V$2*M29,0),$V$2*3),$B$35-SUM($J$6:$J6)),0)))</f>
        <v/>
      </c>
      <c r="G7" s="168" t="str">
        <f>IF(ISERROR(IF(ROUND(MIN(IF($V$17&lt;&gt;$E$6,IF($V$8=F5,$V$2*M29,0),$V$2*3),$B$35-SUM($J$6:$J6)),0)&lt;0,0,ROUND(MIN(IF($V$17&lt;&gt;$E$6,IF($V$8=G5,$V$2*N29,0)+IF($V$8&lt;G5,$V$2*3,0),$V$2*3),$B$35-SUM($J$6:$J6)-SUM($F$7:F7)),0))),"",IF(ROUND(MIN(IF($V$17&lt;&gt;$E$6,IF($V$8=F5,$V$2*M29,0),$V$2*3),$B$35-SUM($J$6:$J6)),0)&lt;0,0,ROUND(MIN(IF($V$17&lt;&gt;$E$6,IF($V$8=G5,$V$2*N29,0)+IF($V$8&lt;G5,$V$2*3,0),$V$2*3),$B$35-SUM($J$6:$J6)-SUM($F$7:F7)),0)))</f>
        <v/>
      </c>
      <c r="H7" s="168" t="str">
        <f>IF(ISERROR(IF(ROUND(MIN(IF($V$17&lt;&gt;$E$6,IF($V$8=F5,$V$2*M29,0),$V$2*3),$B$35-SUM($J$6:$J6)),0)&lt;0,0,ROUND(MIN(IF($V$17&lt;&gt;$E$6,IF($V$8=H5,$V$2*O29,0)+IF($V$8&lt;H5,$V$2*3,0),$V$2*3),$B$35-SUM($J$6:$J6)-SUM($F$7:G7)),0))),"",IF(ROUND(MIN(IF($V$17&lt;&gt;$E$6,IF($V$8=F5,$V$2*M29,0),$V$2*3),$B$35-SUM($J$6:$J6)),0)&lt;0,0,ROUND(MIN(IF($V$17&lt;&gt;$E$6,IF($V$8=H5,$V$2*O29,0)+IF($V$8&lt;H5,$V$2*3,0),$V$2*3),$B$35-SUM($J$6:$J6)-SUM($F$7:G7)),0)))</f>
        <v/>
      </c>
      <c r="I7" s="168" t="str">
        <f>IF(ISERROR(IF(ROUND(MIN(IF($V$17&lt;&gt;$E$6,IF($V$8=F5,$V$2*M29,0),$V$2*3),$B$35-SUM($J$6:$J6)),0)&lt;0,0,ROUND(MIN(IF($V$17&lt;&gt;$E$6,IF($V$8=I5,$V$2*P29,0)+IF($V$8&lt;I5,$V$2*3,0),$V$2*3),$B$35-SUM($J$6:$J6)-SUM($F$7:H7)),0))),"",IF(ROUND(MIN(IF($V$17&lt;&gt;$E$6,IF($V$8=F5,$V$2*M29,0),$V$2*3),$B$35-SUM($J$6:$J6)),0)&lt;0,0,ROUND(MIN(IF($V$17&lt;&gt;$E$6,IF($V$8=I5,$V$2*P29,0)+IF($V$8&lt;I5,$V$2*3,0),$V$2*3),$B$35-SUM($J$6:$J6)-SUM($F$7:H7)),0)))</f>
        <v/>
      </c>
      <c r="J7" s="169" t="str">
        <f t="shared" ref="J7:J36" si="1">IF(E7="","",SUM(F7:I7))</f>
        <v/>
      </c>
      <c r="L7" s="19">
        <v>5</v>
      </c>
      <c r="M7" s="20">
        <v>2</v>
      </c>
      <c r="N7" s="20">
        <v>5</v>
      </c>
      <c r="O7" s="21">
        <v>2</v>
      </c>
      <c r="R7" s="22">
        <v>5</v>
      </c>
      <c r="S7" s="23" t="e">
        <f t="shared" si="0"/>
        <v>#VALUE!</v>
      </c>
      <c r="U7" s="17" t="s">
        <v>3</v>
      </c>
      <c r="V7" s="28">
        <f>(YEAR($B$19)-YEAR(DATE(YEAR($B$19)-1,MONTH($B$13),DAY($B$13))))*12+MONTH($B$19)-MONTH(DATE(YEAR($B$19)-1,MONTH($B$13),DAY($B$13)))</f>
        <v>-22787</v>
      </c>
    </row>
    <row r="8" spans="1:22" ht="15" customHeight="1" x14ac:dyDescent="0.3">
      <c r="A8" s="135"/>
      <c r="B8" s="136"/>
      <c r="C8" s="137"/>
      <c r="E8" s="167" t="str">
        <f t="shared" ref="E8:E36" si="2">IF(OR(F8="",F8=0),"",E7+1)</f>
        <v/>
      </c>
      <c r="F8" s="168" t="str">
        <f>IF(OR(I7="",I7=0),"",IF(ROUND(MIN($V$2*3,$B$35-SUM($J$6:$J7)),0)&lt;0,0,ROUND(MIN($V$2*3,$B$35-SUM($J$6:$J7)),0)))</f>
        <v/>
      </c>
      <c r="G8" s="168" t="str">
        <f>IF(OR(F8="",F8=0),"",IF(ROUND(MIN($V$2*3,$B$35-SUM($J$6:$J7)-SUM($F8:F8)),0)&lt;0,0,ROUND(MIN($V$2*3,$B$35-SUM($J$6:$J7)-SUM($F8:F8)),0)))</f>
        <v/>
      </c>
      <c r="H8" s="168" t="str">
        <f>IF(OR(G8="",G8=0),"",IF(ROUND(MIN($V$2*3,$B$35-SUM($J$6:$J7)-SUM($F8:G8)),0)&lt;0,0,ROUND(MIN($V$2*3,$B$35-SUM($J$6:$J7)-SUM($F8:G8)),0)))</f>
        <v/>
      </c>
      <c r="I8" s="168" t="str">
        <f>IF(OR(H8="",H8=0),"",IF(ROUND(MIN($V$2*3,$B$35-SUM($J$6:$J7)-SUM($F8:H8)),0)&lt;0,0,ROUND(MIN($V$2*3,$B$35-SUM($J$6:$J7)-SUM($F8:H8)),0)))</f>
        <v/>
      </c>
      <c r="J8" s="169" t="str">
        <f t="shared" si="1"/>
        <v/>
      </c>
      <c r="L8" s="19">
        <v>6</v>
      </c>
      <c r="M8" s="20">
        <v>2</v>
      </c>
      <c r="N8" s="20">
        <v>6</v>
      </c>
      <c r="O8" s="21">
        <v>1</v>
      </c>
      <c r="R8" s="22">
        <v>6</v>
      </c>
      <c r="S8" s="23" t="e">
        <f t="shared" si="0"/>
        <v>#VALUE!</v>
      </c>
      <c r="U8" s="24" t="s">
        <v>2</v>
      </c>
      <c r="V8" s="23" t="e">
        <f>LOOKUP(V7,$L$3:$L$26,$M$3:$M$26)</f>
        <v>#N/A</v>
      </c>
    </row>
    <row r="9" spans="1:22" ht="15" customHeight="1" thickBot="1" x14ac:dyDescent="0.35">
      <c r="A9" s="138"/>
      <c r="B9" s="139"/>
      <c r="C9" s="140"/>
      <c r="E9" s="167" t="str">
        <f t="shared" si="2"/>
        <v/>
      </c>
      <c r="F9" s="168" t="str">
        <f>IF(OR(I8="",I8=0),"",IF(ROUND(MIN($V$2*3,$B$35-SUM($J$6:$J8)),0)&lt;0,0,ROUND(MIN($V$2*3,$B$35-SUM($J$6:$J8)),0)))</f>
        <v/>
      </c>
      <c r="G9" s="168" t="str">
        <f>IF(OR(F9="",F9=0),"",IF(ROUND(MIN($V$2*3,$B$35-SUM($J$6:$J8)-SUM($F9:F9)),0)&lt;0,0,ROUND(MIN($V$2*3,$B$35-SUM($J$6:$J8)-SUM($F9:F9)),0)))</f>
        <v/>
      </c>
      <c r="H9" s="168" t="str">
        <f>IF(OR(G9="",G9=0),"",IF(ROUND(MIN($V$2*3,$B$35-SUM($J$6:$J8)-SUM($F9:G9)),0)&lt;0,0,ROUND(MIN($V$2*3,$B$35-SUM($J$6:$J8)-SUM($F9:G9)),0)))</f>
        <v/>
      </c>
      <c r="I9" s="168" t="str">
        <f>IF(OR(H9="",H9=0),"",IF(ROUND(MIN($V$2*3,$B$35-SUM($J$6:$J8)-SUM($F9:H9)),0)&lt;0,0,ROUND(MIN($V$2*3,$B$35-SUM($J$6:$J8)-SUM($F9:H9)),0)))</f>
        <v/>
      </c>
      <c r="J9" s="169" t="str">
        <f t="shared" si="1"/>
        <v/>
      </c>
      <c r="L9" s="19">
        <v>7</v>
      </c>
      <c r="M9" s="20">
        <v>3</v>
      </c>
      <c r="N9" s="20">
        <v>7</v>
      </c>
      <c r="O9" s="21">
        <v>3</v>
      </c>
      <c r="P9" s="29"/>
      <c r="Q9" s="29"/>
      <c r="R9" s="22">
        <v>7</v>
      </c>
      <c r="S9" s="23" t="e">
        <f t="shared" si="0"/>
        <v>#VALUE!</v>
      </c>
      <c r="U9" s="30" t="s">
        <v>9</v>
      </c>
      <c r="V9" s="31">
        <f>DATE(YEAR($B$42),MONTH($B$13),DAY($B$13))</f>
        <v>0</v>
      </c>
    </row>
    <row r="10" spans="1:22" ht="12.75" customHeight="1" thickBot="1" x14ac:dyDescent="0.35">
      <c r="A10" s="65" t="s">
        <v>62</v>
      </c>
      <c r="B10" s="66"/>
      <c r="C10" s="67"/>
      <c r="E10" s="167" t="str">
        <f t="shared" si="2"/>
        <v/>
      </c>
      <c r="F10" s="168" t="str">
        <f>IF(OR(I9="",I9=0),"",IF(ROUND(MIN($V$2*3,$B$35-SUM($J$6:$J9)),0)&lt;0,0,ROUND(MIN($V$2*3,$B$35-SUM($J$6:$J9)),0)))</f>
        <v/>
      </c>
      <c r="G10" s="168" t="str">
        <f>IF(OR(F10="",F10=0),"",IF(ROUND(MIN($V$2*3,$B$35-SUM($J$6:$J9)-SUM($F10:F10)),0)&lt;0,0,ROUND(MIN($V$2*3,$B$35-SUM($J$6:$J9)-SUM($F10:F10)),0)))</f>
        <v/>
      </c>
      <c r="H10" s="168" t="str">
        <f>IF(OR(G10="",G10=0),"",IF(ROUND(MIN($V$2*3,$B$35-SUM($J$6:$J9)-SUM($F10:G10)),0)&lt;0,0,ROUND(MIN($V$2*3,$B$35-SUM($J$6:$J9)-SUM($F10:G10)),0)))</f>
        <v/>
      </c>
      <c r="I10" s="168" t="str">
        <f>IF(OR(H10="",H10=0),"",IF(ROUND(MIN($V$2*3,$B$35-SUM($J$6:$J9)-SUM($F10:H10)),0)&lt;0,0,ROUND(MIN($V$2*3,$B$35-SUM($J$6:$J9)-SUM($F10:H10)),0)))</f>
        <v/>
      </c>
      <c r="J10" s="169" t="str">
        <f t="shared" si="1"/>
        <v/>
      </c>
      <c r="L10" s="19">
        <v>8</v>
      </c>
      <c r="M10" s="20">
        <v>3</v>
      </c>
      <c r="N10" s="20">
        <v>8</v>
      </c>
      <c r="O10" s="21">
        <v>2</v>
      </c>
      <c r="R10" s="22">
        <v>8</v>
      </c>
      <c r="S10" s="23" t="e">
        <f t="shared" si="0"/>
        <v>#VALUE!</v>
      </c>
      <c r="U10" s="32"/>
    </row>
    <row r="11" spans="1:22" ht="12.75" customHeight="1" thickBot="1" x14ac:dyDescent="0.3">
      <c r="A11" s="68" t="s">
        <v>12</v>
      </c>
      <c r="B11" s="3"/>
      <c r="C11" s="69"/>
      <c r="E11" s="167" t="str">
        <f t="shared" si="2"/>
        <v/>
      </c>
      <c r="F11" s="168" t="str">
        <f>IF(OR(I10="",I10=0),"",IF(ROUND(MIN($V$2*3,$B$35-SUM($J$6:$J10)),0)&lt;0,0,ROUND(MIN($V$2*3,$B$35-SUM($J$6:$J10)),0)))</f>
        <v/>
      </c>
      <c r="G11" s="168" t="str">
        <f>IF(OR(F11="",F11=0),"",IF(ROUND(MIN($V$2*3,$B$35-SUM($J$6:$J10)-SUM($F11:F11)),0)&lt;0,0,ROUND(MIN($V$2*3,$B$35-SUM($J$6:$J10)-SUM($F11:F11)),0)))</f>
        <v/>
      </c>
      <c r="H11" s="168" t="str">
        <f>IF(OR(G11="",G11=0),"",IF(ROUND(MIN($V$2*3,$B$35-SUM($J$6:$J10)-SUM($F11:G11)),0)&lt;0,0,ROUND(MIN($V$2*3,$B$35-SUM($J$6:$J10)-SUM($F11:G11)),0)))</f>
        <v/>
      </c>
      <c r="I11" s="168" t="str">
        <f>IF(OR(H11="",H11=0),"",IF(ROUND(MIN($V$2*3,$B$35-SUM($J$6:$J10)-SUM($F11:H11)),0)&lt;0,0,ROUND(MIN($V$2*3,$B$35-SUM($J$6:$J10)-SUM($F11:H11)),0)))</f>
        <v/>
      </c>
      <c r="J11" s="169" t="str">
        <f t="shared" si="1"/>
        <v/>
      </c>
      <c r="L11" s="19">
        <v>9</v>
      </c>
      <c r="M11" s="20">
        <v>3</v>
      </c>
      <c r="N11" s="20">
        <v>9</v>
      </c>
      <c r="O11" s="21">
        <v>1</v>
      </c>
      <c r="R11" s="22">
        <v>9</v>
      </c>
      <c r="S11" s="23" t="e">
        <f t="shared" si="0"/>
        <v>#VALUE!</v>
      </c>
      <c r="U11" s="1" t="s">
        <v>30</v>
      </c>
    </row>
    <row r="12" spans="1:22" ht="12.75" customHeight="1" x14ac:dyDescent="0.3">
      <c r="A12" s="68" t="s">
        <v>13</v>
      </c>
      <c r="B12" s="8"/>
      <c r="C12" s="69"/>
      <c r="E12" s="167" t="str">
        <f t="shared" si="2"/>
        <v/>
      </c>
      <c r="F12" s="168" t="str">
        <f>IF(OR(I11="",I11=0),"",IF(ROUND(MIN($V$2*3,$B$35-SUM($J$6:$J11)),0)&lt;0,0,ROUND(MIN($V$2*3,$B$35-SUM($J$6:$J11)),0)))</f>
        <v/>
      </c>
      <c r="G12" s="168" t="str">
        <f>IF(OR(F12="",F12=0),"",IF(ROUND(MIN($V$2*3,$B$35-SUM($J$6:$J11)-SUM($F12:F12)),0)&lt;0,0,ROUND(MIN($V$2*3,$B$35-SUM($J$6:$J11)-SUM($F12:F12)),0)))</f>
        <v/>
      </c>
      <c r="H12" s="168" t="str">
        <f>IF(OR(G12="",G12=0),"",IF(ROUND(MIN($V$2*3,$B$35-SUM($J$6:$J11)-SUM($F12:G12)),0)&lt;0,0,ROUND(MIN($V$2*3,$B$35-SUM($J$6:$J11)-SUM($F12:G12)),0)))</f>
        <v/>
      </c>
      <c r="I12" s="168" t="str">
        <f>IF(OR(H12="",H12=0),"",IF(ROUND(MIN($V$2*3,$B$35-SUM($J$6:$J11)-SUM($F12:H12)),0)&lt;0,0,ROUND(MIN($V$2*3,$B$35-SUM($J$6:$J11)-SUM($F12:H12)),0)))</f>
        <v/>
      </c>
      <c r="J12" s="169" t="str">
        <f t="shared" si="1"/>
        <v/>
      </c>
      <c r="L12" s="19">
        <v>10</v>
      </c>
      <c r="M12" s="20">
        <v>4</v>
      </c>
      <c r="N12" s="20">
        <v>10</v>
      </c>
      <c r="O12" s="21">
        <v>3</v>
      </c>
      <c r="P12" s="29"/>
      <c r="Q12" s="29"/>
      <c r="R12" s="22">
        <v>10</v>
      </c>
      <c r="S12" s="23" t="e">
        <f t="shared" si="0"/>
        <v>#VALUE!</v>
      </c>
      <c r="U12" s="17" t="s">
        <v>3</v>
      </c>
      <c r="V12" s="28">
        <f>(YEAR($B$18)-YEAR(DATE(YEAR($B$18)-1,MONTH($B$13),DAY($B$13))))*12+MONTH($B$18)-MONTH(DATE(YEAR($B$18)-1,MONTH($B$13),DAY($B$13)))</f>
        <v>-22787</v>
      </c>
    </row>
    <row r="13" spans="1:22" ht="12.75" customHeight="1" x14ac:dyDescent="0.3">
      <c r="A13" s="68" t="s">
        <v>14</v>
      </c>
      <c r="B13" s="9"/>
      <c r="C13" s="69"/>
      <c r="E13" s="167" t="str">
        <f t="shared" si="2"/>
        <v/>
      </c>
      <c r="F13" s="168" t="str">
        <f>IF(OR(I12="",I12=0),"",IF(ROUND(MIN($V$2*3,$B$35-SUM($J$6:$J12)),0)&lt;0,0,ROUND(MIN($V$2*3,$B$35-SUM($J$6:$J12)),0)))</f>
        <v/>
      </c>
      <c r="G13" s="168" t="str">
        <f>IF(OR(F13="",F13=0),"",IF(ROUND(MIN($V$2*3,$B$35-SUM($J$6:$J12)-SUM($F13:F13)),0)&lt;0,0,ROUND(MIN($V$2*3,$B$35-SUM($J$6:$J12)-SUM($F13:F13)),0)))</f>
        <v/>
      </c>
      <c r="H13" s="168" t="str">
        <f>IF(OR(G13="",G13=0),"",IF(ROUND(MIN($V$2*3,$B$35-SUM($J$6:$J12)-SUM($F13:G13)),0)&lt;0,0,ROUND(MIN($V$2*3,$B$35-SUM($J$6:$J12)-SUM($F13:G13)),0)))</f>
        <v/>
      </c>
      <c r="I13" s="168" t="str">
        <f>IF(OR(H13="",H13=0),"",IF(ROUND(MIN($V$2*3,$B$35-SUM($J$6:$J12)-SUM($F13:H13)),0)&lt;0,0,ROUND(MIN($V$2*3,$B$35-SUM($J$6:$J12)-SUM($F13:H13)),0)))</f>
        <v/>
      </c>
      <c r="J13" s="169" t="str">
        <f t="shared" si="1"/>
        <v/>
      </c>
      <c r="L13" s="19">
        <v>11</v>
      </c>
      <c r="M13" s="20">
        <v>4</v>
      </c>
      <c r="N13" s="20">
        <v>11</v>
      </c>
      <c r="O13" s="21">
        <v>2</v>
      </c>
      <c r="P13" s="29"/>
      <c r="Q13" s="29"/>
      <c r="R13" s="22">
        <v>11</v>
      </c>
      <c r="S13" s="23" t="e">
        <f t="shared" si="0"/>
        <v>#VALUE!</v>
      </c>
      <c r="U13" s="24" t="s">
        <v>2</v>
      </c>
      <c r="V13" s="23" t="e">
        <f>LOOKUP(V12,$L$3:$L$26,$M$3:$M$26)</f>
        <v>#N/A</v>
      </c>
    </row>
    <row r="14" spans="1:22" ht="12.75" customHeight="1" thickBot="1" x14ac:dyDescent="0.35">
      <c r="A14" s="68" t="s">
        <v>28</v>
      </c>
      <c r="B14" s="10"/>
      <c r="C14" s="69"/>
      <c r="E14" s="167" t="str">
        <f t="shared" si="2"/>
        <v/>
      </c>
      <c r="F14" s="168" t="str">
        <f>IF(OR(I13="",I13=0),"",IF(ROUND(MIN($V$2*3,$B$35-SUM($J$6:$J13)),0)&lt;0,0,ROUND(MIN($V$2*3,$B$35-SUM($J$6:$J13)),0)))</f>
        <v/>
      </c>
      <c r="G14" s="168" t="str">
        <f>IF(OR(F14="",F14=0),"",IF(ROUND(MIN($V$2*3,$B$35-SUM($J$6:$J13)-SUM($F14:F14)),0)&lt;0,0,ROUND(MIN($V$2*3,$B$35-SUM($J$6:$J13)-SUM($F14:F14)),0)))</f>
        <v/>
      </c>
      <c r="H14" s="168" t="str">
        <f>IF(OR(G14="",G14=0),"",IF(ROUND(MIN($V$2*3,$B$35-SUM($J$6:$J13)-SUM($F14:G14)),0)&lt;0,0,ROUND(MIN($V$2*3,$B$35-SUM($J$6:$J13)-SUM($F14:G14)),0)))</f>
        <v/>
      </c>
      <c r="I14" s="168" t="str">
        <f>IF(OR(H14="",H14=0),"",IF(ROUND(MIN($V$2*3,$B$35-SUM($J$6:$J13)-SUM($F14:H14)),0)&lt;0,0,ROUND(MIN($V$2*3,$B$35-SUM($J$6:$J13)-SUM($F14:H14)),0)))</f>
        <v/>
      </c>
      <c r="J14" s="169" t="str">
        <f t="shared" si="1"/>
        <v/>
      </c>
      <c r="L14" s="19">
        <v>12</v>
      </c>
      <c r="M14" s="20">
        <v>4</v>
      </c>
      <c r="N14" s="20">
        <v>12</v>
      </c>
      <c r="O14" s="21">
        <v>1</v>
      </c>
      <c r="R14" s="22">
        <v>12</v>
      </c>
      <c r="S14" s="23" t="e">
        <f t="shared" si="0"/>
        <v>#VALUE!</v>
      </c>
      <c r="U14" s="30" t="s">
        <v>9</v>
      </c>
      <c r="V14" s="31">
        <f>DATE(YEAR($B$42),MONTH($B$13),DAY($B$13))</f>
        <v>0</v>
      </c>
    </row>
    <row r="15" spans="1:22" ht="12.75" customHeight="1" thickBot="1" x14ac:dyDescent="0.3">
      <c r="A15" s="68"/>
      <c r="B15" s="70"/>
      <c r="C15" s="69"/>
      <c r="E15" s="167" t="str">
        <f t="shared" si="2"/>
        <v/>
      </c>
      <c r="F15" s="168" t="str">
        <f>IF(OR(I14="",I14=0),"",IF(ROUND(MIN($V$2*3,$B$35-SUM($J$6:$J14)),0)&lt;0,0,ROUND(MIN($V$2*3,$B$35-SUM($J$6:$J14)),0)))</f>
        <v/>
      </c>
      <c r="G15" s="168" t="str">
        <f>IF(OR(F15="",F15=0),"",IF(ROUND(MIN($V$2*3,$B$35-SUM($J$6:$J14)-SUM($F15:F15)),0)&lt;0,0,ROUND(MIN($V$2*3,$B$35-SUM($J$6:$J14)-SUM($F15:F15)),0)))</f>
        <v/>
      </c>
      <c r="H15" s="168" t="str">
        <f>IF(OR(G15="",G15=0),"",IF(ROUND(MIN($V$2*3,$B$35-SUM($J$6:$J14)-SUM($F15:G15)),0)&lt;0,0,ROUND(MIN($V$2*3,$B$35-SUM($J$6:$J14)-SUM($F15:G15)),0)))</f>
        <v/>
      </c>
      <c r="I15" s="168" t="str">
        <f>IF(OR(H15="",H15=0),"",IF(ROUND(MIN($V$2*3,$B$35-SUM($J$6:$J14)-SUM($F15:H15)),0)&lt;0,0,ROUND(MIN($V$2*3,$B$35-SUM($J$6:$J14)-SUM($F15:H15)),0)))</f>
        <v/>
      </c>
      <c r="J15" s="169" t="str">
        <f t="shared" si="1"/>
        <v/>
      </c>
      <c r="L15" s="19">
        <v>13</v>
      </c>
      <c r="M15" s="20">
        <v>1</v>
      </c>
      <c r="N15" s="20">
        <v>13</v>
      </c>
      <c r="O15" s="21">
        <v>3</v>
      </c>
      <c r="R15" s="22">
        <v>13</v>
      </c>
      <c r="S15" s="23" t="e">
        <f t="shared" si="0"/>
        <v>#VALUE!</v>
      </c>
    </row>
    <row r="16" spans="1:22" ht="13.5" thickBot="1" x14ac:dyDescent="0.3">
      <c r="A16" s="65" t="s">
        <v>70</v>
      </c>
      <c r="B16" s="71"/>
      <c r="C16" s="67"/>
      <c r="E16" s="167" t="str">
        <f t="shared" si="2"/>
        <v/>
      </c>
      <c r="F16" s="168" t="str">
        <f>IF(OR(I15="",I15=0),"",IF(ROUND(MIN($V$2*3,$B$35-SUM($J$6:$J15)),0)&lt;0,0,ROUND(MIN($V$2*3,$B$35-SUM($J$6:$J15)),0)))</f>
        <v/>
      </c>
      <c r="G16" s="168" t="str">
        <f>IF(OR(F16="",F16=0),"",IF(ROUND(MIN($V$2*3,$B$35-SUM($J$6:$J15)-SUM($F16:F16)),0)&lt;0,0,ROUND(MIN($V$2*3,$B$35-SUM($J$6:$J15)-SUM($F16:F16)),0)))</f>
        <v/>
      </c>
      <c r="H16" s="168" t="str">
        <f>IF(OR(G16="",G16=0),"",IF(ROUND(MIN($V$2*3,$B$35-SUM($J$6:$J15)-SUM($F16:G16)),0)&lt;0,0,ROUND(MIN($V$2*3,$B$35-SUM($J$6:$J15)-SUM($F16:G16)),0)))</f>
        <v/>
      </c>
      <c r="I16" s="168" t="str">
        <f>IF(OR(H16="",H16=0),"",IF(ROUND(MIN($V$2*3,$B$35-SUM($J$6:$J15)-SUM($F16:H16)),0)&lt;0,0,ROUND(MIN($V$2*3,$B$35-SUM($J$6:$J15)-SUM($F16:H16)),0)))</f>
        <v/>
      </c>
      <c r="J16" s="169" t="str">
        <f t="shared" si="1"/>
        <v/>
      </c>
      <c r="L16" s="19">
        <v>14</v>
      </c>
      <c r="M16" s="20">
        <v>1</v>
      </c>
      <c r="N16" s="20">
        <v>14</v>
      </c>
      <c r="O16" s="21">
        <v>2</v>
      </c>
      <c r="R16" s="22">
        <v>14</v>
      </c>
      <c r="S16" s="23" t="e">
        <f t="shared" si="0"/>
        <v>#VALUE!</v>
      </c>
      <c r="U16" s="1" t="s">
        <v>31</v>
      </c>
    </row>
    <row r="17" spans="1:34" ht="12" customHeight="1" x14ac:dyDescent="0.3">
      <c r="A17" s="68" t="s">
        <v>67</v>
      </c>
      <c r="B17" s="3"/>
      <c r="C17" s="69"/>
      <c r="E17" s="167" t="str">
        <f t="shared" si="2"/>
        <v/>
      </c>
      <c r="F17" s="168" t="str">
        <f>IF(OR(I16="",I16=0),"",IF(ROUND(MIN($V$2*3,$B$35-SUM($J$6:$J16)),0)&lt;0,0,ROUND(MIN($V$2*3,$B$35-SUM($J$6:$J16)),0)))</f>
        <v/>
      </c>
      <c r="G17" s="168" t="str">
        <f>IF(OR(F17="",F17=0),"",IF(ROUND(MIN($V$2*3,$B$35-SUM($J$6:$J16)-SUM($F17:F17)),0)&lt;0,0,ROUND(MIN($V$2*3,$B$35-SUM($J$6:$J16)-SUM($F17:F17)),0)))</f>
        <v/>
      </c>
      <c r="H17" s="168" t="str">
        <f>IF(OR(G17="",G17=0),"",IF(ROUND(MIN($V$2*3,$B$35-SUM($J$6:$J16)-SUM($F17:G17)),0)&lt;0,0,ROUND(MIN($V$2*3,$B$35-SUM($J$6:$J16)-SUM($F17:G17)),0)))</f>
        <v/>
      </c>
      <c r="I17" s="168" t="str">
        <f>IF(OR(H17="",H17=0),"",IF(ROUND(MIN($V$2*3,$B$35-SUM($J$6:$J16)-SUM($F17:H17)),0)&lt;0,0,ROUND(MIN($V$2*3,$B$35-SUM($J$6:$J16)-SUM($F17:H17)),0)))</f>
        <v/>
      </c>
      <c r="J17" s="169" t="str">
        <f t="shared" si="1"/>
        <v/>
      </c>
      <c r="L17" s="19">
        <v>15</v>
      </c>
      <c r="M17" s="20">
        <v>1</v>
      </c>
      <c r="N17" s="20">
        <v>15</v>
      </c>
      <c r="O17" s="21">
        <v>1</v>
      </c>
      <c r="R17" s="22">
        <v>15</v>
      </c>
      <c r="S17" s="23" t="e">
        <f t="shared" si="0"/>
        <v>#VALUE!</v>
      </c>
      <c r="U17" s="33" t="s">
        <v>0</v>
      </c>
      <c r="V17" s="34">
        <f>IF(ISERROR(IF(B19&gt;V18,YEAR(V18)+2,YEAR(V18)+1)),"Please enter the correct relevant period",IF(B19&gt;V18,YEAR(V18)+2,YEAR(V18)+1))</f>
        <v>1901</v>
      </c>
    </row>
    <row r="18" spans="1:34" ht="12" customHeight="1" thickBot="1" x14ac:dyDescent="0.35">
      <c r="A18" s="72" t="s">
        <v>71</v>
      </c>
      <c r="B18" s="14"/>
      <c r="C18" s="69"/>
      <c r="E18" s="167" t="str">
        <f t="shared" si="2"/>
        <v/>
      </c>
      <c r="F18" s="168" t="str">
        <f>IF(OR(I17="",I17=0),"",IF(ROUND(MIN($V$2*3,$B$35-SUM($J$6:$J17)),0)&lt;0,0,ROUND(MIN($V$2*3,$B$35-SUM($J$6:$J17)),0)))</f>
        <v/>
      </c>
      <c r="G18" s="168" t="str">
        <f>IF(OR(F18="",F18=0),"",IF(ROUND(MIN($V$2*3,$B$35-SUM($J$6:$J17)-SUM($F18:F18)),0)&lt;0,0,ROUND(MIN($V$2*3,$B$35-SUM($J$6:$J17)-SUM($F18:F18)),0)))</f>
        <v/>
      </c>
      <c r="H18" s="168" t="str">
        <f>IF(OR(G18="",G18=0),"",IF(ROUND(MIN($V$2*3,$B$35-SUM($J$6:$J17)-SUM($F18:G18)),0)&lt;0,0,ROUND(MIN($V$2*3,$B$35-SUM($J$6:$J17)-SUM($F18:G18)),0)))</f>
        <v/>
      </c>
      <c r="I18" s="168" t="str">
        <f>IF(OR(H18="",H18=0),"",IF(ROUND(MIN($V$2*3,$B$35-SUM($J$6:$J17)-SUM($F18:H18)),0)&lt;0,0,ROUND(MIN($V$2*3,$B$35-SUM($J$6:$J17)-SUM($F18:H18)),0)))</f>
        <v/>
      </c>
      <c r="J18" s="169" t="str">
        <f t="shared" si="1"/>
        <v/>
      </c>
      <c r="L18" s="19">
        <v>16</v>
      </c>
      <c r="M18" s="20">
        <v>2</v>
      </c>
      <c r="N18" s="20">
        <v>16</v>
      </c>
      <c r="O18" s="21">
        <v>3</v>
      </c>
      <c r="R18" s="22">
        <v>16</v>
      </c>
      <c r="S18" s="23" t="e">
        <f t="shared" si="0"/>
        <v>#VALUE!</v>
      </c>
      <c r="U18" s="30" t="s">
        <v>9</v>
      </c>
      <c r="V18" s="31">
        <f>DATE(YEAR($B$19),MONTH($B$13),DAY($B$13))</f>
        <v>0</v>
      </c>
    </row>
    <row r="19" spans="1:34" ht="12" customHeight="1" x14ac:dyDescent="0.25">
      <c r="A19" s="68" t="s">
        <v>63</v>
      </c>
      <c r="B19" s="14"/>
      <c r="C19" s="69"/>
      <c r="E19" s="167" t="str">
        <f t="shared" si="2"/>
        <v/>
      </c>
      <c r="F19" s="168" t="str">
        <f>IF(OR(I18="",I18=0),"",IF(ROUND(MIN($V$2*3,$B$35-SUM($J$6:$J18)),0)&lt;0,0,ROUND(MIN($V$2*3,$B$35-SUM($J$6:$J18)),0)))</f>
        <v/>
      </c>
      <c r="G19" s="168" t="str">
        <f>IF(OR(F19="",F19=0),"",IF(ROUND(MIN($V$2*3,$B$35-SUM($J$6:$J18)-SUM($F19:F19)),0)&lt;0,0,ROUND(MIN($V$2*3,$B$35-SUM($J$6:$J18)-SUM($F19:F19)),0)))</f>
        <v/>
      </c>
      <c r="H19" s="168" t="str">
        <f>IF(OR(G19="",G19=0),"",IF(ROUND(MIN($V$2*3,$B$35-SUM($J$6:$J18)-SUM($F19:G19)),0)&lt;0,0,ROUND(MIN($V$2*3,$B$35-SUM($J$6:$J18)-SUM($F19:G19)),0)))</f>
        <v/>
      </c>
      <c r="I19" s="168" t="str">
        <f>IF(OR(H19="",H19=0),"",IF(ROUND(MIN($V$2*3,$B$35-SUM($J$6:$J18)-SUM($F19:H19)),0)&lt;0,0,ROUND(MIN($V$2*3,$B$35-SUM($J$6:$J18)-SUM($F19:H19)),0)))</f>
        <v/>
      </c>
      <c r="J19" s="169" t="str">
        <f t="shared" si="1"/>
        <v/>
      </c>
      <c r="L19" s="19">
        <v>17</v>
      </c>
      <c r="M19" s="20">
        <v>2</v>
      </c>
      <c r="N19" s="20">
        <v>17</v>
      </c>
      <c r="O19" s="21">
        <v>2</v>
      </c>
      <c r="R19" s="22">
        <v>17</v>
      </c>
      <c r="S19" s="23" t="e">
        <f t="shared" si="0"/>
        <v>#VALUE!</v>
      </c>
    </row>
    <row r="20" spans="1:34" ht="12" customHeight="1" thickBot="1" x14ac:dyDescent="0.3">
      <c r="A20" s="68" t="s">
        <v>19</v>
      </c>
      <c r="B20" s="4"/>
      <c r="C20" s="69"/>
      <c r="E20" s="167" t="str">
        <f t="shared" si="2"/>
        <v/>
      </c>
      <c r="F20" s="168" t="str">
        <f>IF(OR(I19="",I19=0),"",IF(ROUND(MIN($V$2*3,$B$35-SUM($J$6:$J19)),0)&lt;0,0,ROUND(MIN($V$2*3,$B$35-SUM($J$6:$J19)),0)))</f>
        <v/>
      </c>
      <c r="G20" s="168" t="str">
        <f>IF(OR(F20="",F20=0),"",IF(ROUND(MIN($V$2*3,$B$35-SUM($J$6:$J19)-SUM($F20:F20)),0)&lt;0,0,ROUND(MIN($V$2*3,$B$35-SUM($J$6:$J19)-SUM($F20:F20)),0)))</f>
        <v/>
      </c>
      <c r="H20" s="168" t="str">
        <f>IF(OR(G20="",G20=0),"",IF(ROUND(MIN($V$2*3,$B$35-SUM($J$6:$J19)-SUM($F20:G20)),0)&lt;0,0,ROUND(MIN($V$2*3,$B$35-SUM($J$6:$J19)-SUM($F20:G20)),0)))</f>
        <v/>
      </c>
      <c r="I20" s="168" t="str">
        <f>IF(OR(H20="",H20=0),"",IF(ROUND(MIN($V$2*3,$B$35-SUM($J$6:$J19)-SUM($F20:H20)),0)&lt;0,0,ROUND(MIN($V$2*3,$B$35-SUM($J$6:$J19)-SUM($F20:H20)),0)))</f>
        <v/>
      </c>
      <c r="J20" s="169" t="str">
        <f t="shared" si="1"/>
        <v/>
      </c>
      <c r="L20" s="19">
        <v>18</v>
      </c>
      <c r="M20" s="20">
        <v>2</v>
      </c>
      <c r="N20" s="20">
        <v>18</v>
      </c>
      <c r="O20" s="21">
        <v>1</v>
      </c>
      <c r="R20" s="22">
        <v>18</v>
      </c>
      <c r="S20" s="23" t="e">
        <f t="shared" si="0"/>
        <v>#VALUE!</v>
      </c>
      <c r="U20" s="1" t="s">
        <v>32</v>
      </c>
    </row>
    <row r="21" spans="1:34" ht="12" customHeight="1" x14ac:dyDescent="0.3">
      <c r="A21" s="68" t="s">
        <v>22</v>
      </c>
      <c r="B21" s="5"/>
      <c r="C21" s="69"/>
      <c r="E21" s="167" t="str">
        <f t="shared" si="2"/>
        <v/>
      </c>
      <c r="F21" s="168" t="str">
        <f>IF(OR(I20="",I20=0),"",IF(ROUND(MIN($V$2*3,$B$35-SUM($J$6:$J20)),0)&lt;0,0,ROUND(MIN($V$2*3,$B$35-SUM($J$6:$J20)),0)))</f>
        <v/>
      </c>
      <c r="G21" s="168" t="str">
        <f>IF(OR(F21="",F21=0),"",IF(ROUND(MIN($V$2*3,$B$35-SUM($J$6:$J20)-SUM($F21:F21)),0)&lt;0,0,ROUND(MIN($V$2*3,$B$35-SUM($J$6:$J20)-SUM($F21:F21)),0)))</f>
        <v/>
      </c>
      <c r="H21" s="168" t="str">
        <f>IF(OR(G21="",G21=0),"",IF(ROUND(MIN($V$2*3,$B$35-SUM($J$6:$J20)-SUM($F21:G21)),0)&lt;0,0,ROUND(MIN($V$2*3,$B$35-SUM($J$6:$J20)-SUM($F21:G21)),0)))</f>
        <v/>
      </c>
      <c r="I21" s="168" t="str">
        <f>IF(OR(H21="",H21=0),"",IF(ROUND(MIN($V$2*3,$B$35-SUM($J$6:$J20)-SUM($F21:H21)),0)&lt;0,0,ROUND(MIN($V$2*3,$B$35-SUM($J$6:$J20)-SUM($F21:H21)),0)))</f>
        <v/>
      </c>
      <c r="J21" s="169" t="str">
        <f t="shared" si="1"/>
        <v/>
      </c>
      <c r="L21" s="19">
        <v>19</v>
      </c>
      <c r="M21" s="20">
        <v>3</v>
      </c>
      <c r="N21" s="20">
        <v>19</v>
      </c>
      <c r="O21" s="21">
        <v>3</v>
      </c>
      <c r="R21" s="22">
        <v>19</v>
      </c>
      <c r="S21" s="23" t="e">
        <f t="shared" si="0"/>
        <v>#VALUE!</v>
      </c>
      <c r="U21" s="33" t="s">
        <v>0</v>
      </c>
      <c r="V21" s="34">
        <f>IF(ISERROR(IF(B18&gt;V22,YEAR(V22)+2,YEAR(V22)+1)),"Please enter the correct relevant period",IF(B18&gt;V22,YEAR(V22)+2,YEAR(V22)+1))</f>
        <v>1901</v>
      </c>
    </row>
    <row r="22" spans="1:34" ht="12" customHeight="1" thickBot="1" x14ac:dyDescent="0.35">
      <c r="A22" s="68" t="s">
        <v>20</v>
      </c>
      <c r="B22" s="5"/>
      <c r="C22" s="69"/>
      <c r="E22" s="167" t="str">
        <f t="shared" si="2"/>
        <v/>
      </c>
      <c r="F22" s="168" t="str">
        <f>IF(OR(I21="",I21=0),"",IF(ROUND(MIN($V$2*3,$B$35-SUM($J$6:$J21)),0)&lt;0,0,ROUND(MIN($V$2*3,$B$35-SUM($J$6:$J21)),0)))</f>
        <v/>
      </c>
      <c r="G22" s="168" t="str">
        <f>IF(OR(F22="",F22=0),"",IF(ROUND(MIN($V$2*3,$B$35-SUM($J$6:$J21)-SUM($F22:F22)),0)&lt;0,0,ROUND(MIN($V$2*3,$B$35-SUM($J$6:$J21)-SUM($F22:F22)),0)))</f>
        <v/>
      </c>
      <c r="H22" s="168" t="str">
        <f>IF(OR(G22="",G22=0),"",IF(ROUND(MIN($V$2*3,$B$35-SUM($J$6:$J21)-SUM($F22:G22)),0)&lt;0,0,ROUND(MIN($V$2*3,$B$35-SUM($J$6:$J21)-SUM($F22:G22)),0)))</f>
        <v/>
      </c>
      <c r="I22" s="168" t="str">
        <f>IF(OR(H22="",H22=0),"",IF(ROUND(MIN($V$2*3,$B$35-SUM($J$6:$J21)-SUM($F22:H22)),0)&lt;0,0,ROUND(MIN($V$2*3,$B$35-SUM($J$6:$J21)-SUM($F22:H22)),0)))</f>
        <v/>
      </c>
      <c r="J22" s="169" t="str">
        <f t="shared" si="1"/>
        <v/>
      </c>
      <c r="L22" s="19">
        <v>20</v>
      </c>
      <c r="M22" s="20">
        <v>3</v>
      </c>
      <c r="N22" s="20">
        <v>20</v>
      </c>
      <c r="O22" s="21">
        <v>2</v>
      </c>
      <c r="R22" s="22">
        <v>20</v>
      </c>
      <c r="S22" s="23" t="e">
        <f t="shared" si="0"/>
        <v>#VALUE!</v>
      </c>
      <c r="U22" s="30" t="s">
        <v>9</v>
      </c>
      <c r="V22" s="31">
        <f>DATE(YEAR($B$18),MONTH($B$13),DAY($B$13))</f>
        <v>0</v>
      </c>
    </row>
    <row r="23" spans="1:34" ht="12" customHeight="1" x14ac:dyDescent="0.25">
      <c r="A23" s="68" t="s">
        <v>21</v>
      </c>
      <c r="B23" s="5"/>
      <c r="C23" s="69"/>
      <c r="E23" s="167" t="str">
        <f t="shared" si="2"/>
        <v/>
      </c>
      <c r="F23" s="168" t="str">
        <f>IF(OR(I22="",I22=0),"",IF(ROUND(MIN($V$2*3,$B$35-SUM($J$6:$J22)),0)&lt;0,0,ROUND(MIN($V$2*3,$B$35-SUM($J$6:$J22)),0)))</f>
        <v/>
      </c>
      <c r="G23" s="168" t="str">
        <f>IF(OR(F23="",F23=0),"",IF(ROUND(MIN($V$2*3,$B$35-SUM($J$6:$J22)-SUM($F23:F23)),0)&lt;0,0,ROUND(MIN($V$2*3,$B$35-SUM($J$6:$J22)-SUM($F23:F23)),0)))</f>
        <v/>
      </c>
      <c r="H23" s="168" t="str">
        <f>IF(OR(G23="",G23=0),"",IF(ROUND(MIN($V$2*3,$B$35-SUM($J$6:$J22)-SUM($F23:G23)),0)&lt;0,0,ROUND(MIN($V$2*3,$B$35-SUM($J$6:$J22)-SUM($F23:G23)),0)))</f>
        <v/>
      </c>
      <c r="I23" s="168" t="str">
        <f>IF(OR(H23="",H23=0),"",IF(ROUND(MIN($V$2*3,$B$35-SUM($J$6:$J22)-SUM($F23:H23)),0)&lt;0,0,ROUND(MIN($V$2*3,$B$35-SUM($J$6:$J22)-SUM($F23:H23)),0)))</f>
        <v/>
      </c>
      <c r="J23" s="169" t="str">
        <f t="shared" si="1"/>
        <v/>
      </c>
      <c r="L23" s="19">
        <v>21</v>
      </c>
      <c r="M23" s="20">
        <v>3</v>
      </c>
      <c r="N23" s="20">
        <v>21</v>
      </c>
      <c r="O23" s="21">
        <v>1</v>
      </c>
      <c r="R23" s="22">
        <v>21</v>
      </c>
      <c r="S23" s="23" t="e">
        <f t="shared" si="0"/>
        <v>#VALUE!</v>
      </c>
    </row>
    <row r="24" spans="1:34" ht="12" customHeight="1" thickBot="1" x14ac:dyDescent="0.35">
      <c r="A24" s="68"/>
      <c r="B24" s="70"/>
      <c r="C24" s="69"/>
      <c r="E24" s="167" t="str">
        <f t="shared" si="2"/>
        <v/>
      </c>
      <c r="F24" s="168" t="str">
        <f>IF(OR(I23="",I23=0),"",IF(ROUND(MIN($V$2*3,$B$35-SUM($J$6:$J23)),0)&lt;0,0,ROUND(MIN($V$2*3,$B$35-SUM($J$6:$J23)),0)))</f>
        <v/>
      </c>
      <c r="G24" s="168" t="str">
        <f>IF(OR(F24="",F24=0),"",IF(ROUND(MIN($V$2*3,$B$35-SUM($J$6:$J23)-SUM($F24:F24)),0)&lt;0,0,ROUND(MIN($V$2*3,$B$35-SUM($J$6:$J23)-SUM($F24:F24)),0)))</f>
        <v/>
      </c>
      <c r="H24" s="168" t="str">
        <f>IF(OR(G24="",G24=0),"",IF(ROUND(MIN($V$2*3,$B$35-SUM($J$6:$J23)-SUM($F24:G24)),0)&lt;0,0,ROUND(MIN($V$2*3,$B$35-SUM($J$6:$J23)-SUM($F24:G24)),0)))</f>
        <v/>
      </c>
      <c r="I24" s="168" t="str">
        <f>IF(OR(H24="",H24=0),"",IF(ROUND(MIN($V$2*3,$B$35-SUM($J$6:$J23)-SUM($F24:H24)),0)&lt;0,0,ROUND(MIN($V$2*3,$B$35-SUM($J$6:$J23)-SUM($F24:H24)),0)))</f>
        <v/>
      </c>
      <c r="J24" s="169" t="str">
        <f t="shared" si="1"/>
        <v/>
      </c>
      <c r="L24" s="19">
        <v>22</v>
      </c>
      <c r="M24" s="20">
        <v>4</v>
      </c>
      <c r="N24" s="20">
        <v>22</v>
      </c>
      <c r="O24" s="21">
        <v>3</v>
      </c>
      <c r="R24" s="22">
        <v>22</v>
      </c>
      <c r="S24" s="23" t="e">
        <f t="shared" si="0"/>
        <v>#VALUE!</v>
      </c>
      <c r="U24" s="35"/>
      <c r="W24" s="119" t="s">
        <v>10</v>
      </c>
      <c r="X24" s="119"/>
      <c r="Y24" s="119"/>
      <c r="Z24" s="119"/>
    </row>
    <row r="25" spans="1:34" x14ac:dyDescent="0.25">
      <c r="A25" s="68" t="s">
        <v>72</v>
      </c>
      <c r="B25" s="6"/>
      <c r="C25" s="69"/>
      <c r="E25" s="167" t="str">
        <f t="shared" si="2"/>
        <v/>
      </c>
      <c r="F25" s="168" t="str">
        <f>IF(OR(I24="",I24=0),"",IF(ROUND(MIN($V$2*3,$B$35-SUM($J$6:$J24)),0)&lt;0,0,ROUND(MIN($V$2*3,$B$35-SUM($J$6:$J24)),0)))</f>
        <v/>
      </c>
      <c r="G25" s="168" t="str">
        <f>IF(OR(F25="",F25=0),"",IF(ROUND(MIN($V$2*3,$B$35-SUM($J$6:$J24)-SUM($F25:F25)),0)&lt;0,0,ROUND(MIN($V$2*3,$B$35-SUM($J$6:$J24)-SUM($F25:F25)),0)))</f>
        <v/>
      </c>
      <c r="H25" s="168" t="str">
        <f>IF(OR(G25="",G25=0),"",IF(ROUND(MIN($V$2*3,$B$35-SUM($J$6:$J24)-SUM($F25:G25)),0)&lt;0,0,ROUND(MIN($V$2*3,$B$35-SUM($J$6:$J24)-SUM($F25:G25)),0)))</f>
        <v/>
      </c>
      <c r="I25" s="168" t="str">
        <f>IF(OR(H25="",H25=0),"",IF(ROUND(MIN($V$2*3,$B$35-SUM($J$6:$J24)-SUM($F25:H25)),0)&lt;0,0,ROUND(MIN($V$2*3,$B$35-SUM($J$6:$J24)-SUM($F25:H25)),0)))</f>
        <v/>
      </c>
      <c r="J25" s="169" t="str">
        <f t="shared" si="1"/>
        <v/>
      </c>
      <c r="L25" s="19">
        <v>23</v>
      </c>
      <c r="M25" s="20">
        <v>4</v>
      </c>
      <c r="N25" s="20">
        <v>23</v>
      </c>
      <c r="O25" s="21">
        <v>2</v>
      </c>
      <c r="R25" s="22">
        <v>23</v>
      </c>
      <c r="S25" s="23" t="e">
        <f t="shared" si="0"/>
        <v>#VALUE!</v>
      </c>
      <c r="U25" s="125" t="s">
        <v>2</v>
      </c>
      <c r="V25" s="36"/>
      <c r="W25" s="37">
        <v>2</v>
      </c>
      <c r="X25" s="37">
        <v>5</v>
      </c>
      <c r="Y25" s="37">
        <v>8</v>
      </c>
      <c r="Z25" s="34">
        <v>11</v>
      </c>
    </row>
    <row r="26" spans="1:34" ht="13" thickBot="1" x14ac:dyDescent="0.3">
      <c r="A26" s="68" t="s">
        <v>23</v>
      </c>
      <c r="B26" s="7"/>
      <c r="C26" s="69"/>
      <c r="E26" s="167" t="str">
        <f t="shared" si="2"/>
        <v/>
      </c>
      <c r="F26" s="168" t="str">
        <f>IF(OR(I25="",I25=0),"",IF(ROUND(MIN($V$2*3,$B$35-SUM($J$6:$J25)),0)&lt;0,0,ROUND(MIN($V$2*3,$B$35-SUM($J$6:$J25)),0)))</f>
        <v/>
      </c>
      <c r="G26" s="168" t="str">
        <f>IF(OR(F26="",F26=0),"",IF(ROUND(MIN($V$2*3,$B$35-SUM($J$6:$J25)-SUM($F26:F26)),0)&lt;0,0,ROUND(MIN($V$2*3,$B$35-SUM($J$6:$J25)-SUM($F26:F26)),0)))</f>
        <v/>
      </c>
      <c r="H26" s="168" t="str">
        <f>IF(OR(G26="",G26=0),"",IF(ROUND(MIN($V$2*3,$B$35-SUM($J$6:$J25)-SUM($F26:G26)),0)&lt;0,0,ROUND(MIN($V$2*3,$B$35-SUM($J$6:$J25)-SUM($F26:G26)),0)))</f>
        <v/>
      </c>
      <c r="I26" s="168" t="str">
        <f>IF(OR(H26="",H26=0),"",IF(ROUND(MIN($V$2*3,$B$35-SUM($J$6:$J25)-SUM($F26:H26)),0)&lt;0,0,ROUND(MIN($V$2*3,$B$35-SUM($J$6:$J25)-SUM($F26:H26)),0)))</f>
        <v/>
      </c>
      <c r="J26" s="169" t="str">
        <f t="shared" si="1"/>
        <v/>
      </c>
      <c r="L26" s="38">
        <v>24</v>
      </c>
      <c r="M26" s="39">
        <v>4</v>
      </c>
      <c r="N26" s="39">
        <v>24</v>
      </c>
      <c r="O26" s="40">
        <v>1</v>
      </c>
      <c r="R26" s="22">
        <v>24</v>
      </c>
      <c r="S26" s="23" t="e">
        <f t="shared" si="0"/>
        <v>#VALUE!</v>
      </c>
      <c r="U26" s="125"/>
      <c r="V26" s="22" t="str">
        <f>TEXT(MONTH(DATE(2013,MONTH(B13)+1,1)),0)</f>
        <v>2</v>
      </c>
      <c r="W26" s="41" t="str">
        <f>INDEX($F$6:$I$35,MATCH($B$45,$E$6:$E$35,0),1)</f>
        <v/>
      </c>
      <c r="X26" s="41" t="e">
        <f>INDEX($F$6:$I$35,MATCH($B$45,$E$6:$E$35,0),1)+INDEX($F$6:$I$35,MATCH($B$45,$E$6:$E$35,0),2)</f>
        <v>#VALUE!</v>
      </c>
      <c r="Y26" s="41" t="e">
        <f>INDEX($F$6:$I$35,MATCH($B$45,$E$6:$E$35,0),1)+INDEX($F$6:$I$35,MATCH($B$45,$E$6:$E$35,0),2)+INDEX($F$6:$I$35,MATCH($B$45,$E$6:$E$35,0),3)</f>
        <v>#VALUE!</v>
      </c>
      <c r="Z26" s="42" t="e">
        <f>INDEX($F$6:$I$35,MATCH($B$45,$E$6:$E$35,0),1)+INDEX($F$6:$I$35,MATCH($B$45,$E$6:$E$35,0),2)+INDEX($F$6:$I$35,MATCH($B$45,$E$6:$E$35,0),3)+INDEX($F$6:$I$35,MATCH($B$45,$E$6:$E$35,0),4)</f>
        <v>#VALUE!</v>
      </c>
    </row>
    <row r="27" spans="1:34" ht="13.5" thickBot="1" x14ac:dyDescent="0.3">
      <c r="A27" s="68" t="s">
        <v>25</v>
      </c>
      <c r="B27" s="73">
        <f>SUM(B25:B26)</f>
        <v>0</v>
      </c>
      <c r="C27" s="69"/>
      <c r="E27" s="167" t="str">
        <f t="shared" si="2"/>
        <v/>
      </c>
      <c r="F27" s="168" t="str">
        <f>IF(OR(I26="",I26=0),"",IF(ROUND(MIN($V$2*3,$B$35-SUM($J$6:$J26)),0)&lt;0,0,ROUND(MIN($V$2*3,$B$35-SUM($J$6:$J26)),0)))</f>
        <v/>
      </c>
      <c r="G27" s="168" t="str">
        <f>IF(OR(F27="",F27=0),"",IF(ROUND(MIN($V$2*3,$B$35-SUM($J$6:$J26)-SUM($F27:F27)),0)&lt;0,0,ROUND(MIN($V$2*3,$B$35-SUM($J$6:$J26)-SUM($F27:F27)),0)))</f>
        <v/>
      </c>
      <c r="H27" s="168" t="str">
        <f>IF(OR(G27="",G27=0),"",IF(ROUND(MIN($V$2*3,$B$35-SUM($J$6:$J26)-SUM($F27:G27)),0)&lt;0,0,ROUND(MIN($V$2*3,$B$35-SUM($J$6:$J26)-SUM($F27:G27)),0)))</f>
        <v/>
      </c>
      <c r="I27" s="168" t="str">
        <f>IF(OR(H27="",H27=0),"",IF(ROUND(MIN($V$2*3,$B$35-SUM($J$6:$J26)-SUM($F27:H27)),0)&lt;0,0,ROUND(MIN($V$2*3,$B$35-SUM($J$6:$J26)-SUM($F27:H27)),0)))</f>
        <v/>
      </c>
      <c r="J27" s="169" t="str">
        <f t="shared" si="1"/>
        <v/>
      </c>
      <c r="R27" s="22">
        <v>25</v>
      </c>
      <c r="S27" s="23" t="e">
        <f t="shared" si="0"/>
        <v>#VALUE!</v>
      </c>
      <c r="U27" s="125"/>
      <c r="V27" s="22" t="str">
        <f>TEXT(MONTH(DATE(2013,MONTH(B13)+4,1)),0)</f>
        <v>5</v>
      </c>
      <c r="W27" s="41" t="str">
        <f>INDEX($F$6:$I$35,MATCH($B$45,$E$6:$E$35,0),2)</f>
        <v/>
      </c>
      <c r="X27" s="41" t="e">
        <f>INDEX($F$6:$I$35,MATCH($B$45,$E$6:$E$35,0),2)+INDEX($F$6:$I$35,MATCH($B$45,$E$6:$E$35,0),3)</f>
        <v>#VALUE!</v>
      </c>
      <c r="Y27" s="41" t="e">
        <f>INDEX($F$6:$I$35,MATCH($B$45,$E$6:$E$35,0),2)+INDEX($F$6:$I$35,MATCH($B$45,$E$6:$E$35,0),3)+INDEX($F$6:$I$35,MATCH($B$45,$E$6:$E$35,0),4)</f>
        <v>#VALUE!</v>
      </c>
      <c r="Z27" s="43" t="s">
        <v>8</v>
      </c>
    </row>
    <row r="28" spans="1:34" ht="13" x14ac:dyDescent="0.3">
      <c r="A28" s="68"/>
      <c r="B28" s="70"/>
      <c r="C28" s="69"/>
      <c r="E28" s="167" t="str">
        <f t="shared" si="2"/>
        <v/>
      </c>
      <c r="F28" s="168" t="str">
        <f>IF(OR(I27="",I27=0),"",IF(ROUND(MIN($V$2*3,$B$35-SUM($J$6:$J27)),0)&lt;0,0,ROUND(MIN($V$2*3,$B$35-SUM($J$6:$J27)),0)))</f>
        <v/>
      </c>
      <c r="G28" s="168" t="str">
        <f>IF(OR(F28="",F28=0),"",IF(ROUND(MIN($V$2*3,$B$35-SUM($J$6:$J27)-SUM($F28:F28)),0)&lt;0,0,ROUND(MIN($V$2*3,$B$35-SUM($J$6:$J27)-SUM($F28:F28)),0)))</f>
        <v/>
      </c>
      <c r="H28" s="168" t="str">
        <f>IF(OR(G28="",G28=0),"",IF(ROUND(MIN($V$2*3,$B$35-SUM($J$6:$J27)-SUM($F28:G28)),0)&lt;0,0,ROUND(MIN($V$2*3,$B$35-SUM($J$6:$J27)-SUM($F28:G28)),0)))</f>
        <v/>
      </c>
      <c r="I28" s="168" t="str">
        <f>IF(OR(H28="",H28=0),"",IF(ROUND(MIN($V$2*3,$B$35-SUM($J$6:$J27)-SUM($F28:H28)),0)&lt;0,0,ROUND(MIN($V$2*3,$B$35-SUM($J$6:$J27)-SUM($F28:H28)),0)))</f>
        <v/>
      </c>
      <c r="J28" s="169" t="str">
        <f t="shared" si="1"/>
        <v/>
      </c>
      <c r="L28" s="17" t="s">
        <v>2</v>
      </c>
      <c r="M28" s="44">
        <v>1</v>
      </c>
      <c r="N28" s="44">
        <v>2</v>
      </c>
      <c r="O28" s="44">
        <v>3</v>
      </c>
      <c r="P28" s="28">
        <v>4</v>
      </c>
      <c r="Q28" s="45"/>
      <c r="R28" s="22">
        <v>26</v>
      </c>
      <c r="S28" s="23" t="e">
        <f t="shared" si="0"/>
        <v>#VALUE!</v>
      </c>
      <c r="U28" s="125"/>
      <c r="V28" s="22" t="str">
        <f>TEXT(MONTH(DATE(2013,MONTH(B13)+7,1)),0)</f>
        <v>8</v>
      </c>
      <c r="W28" s="41" t="str">
        <f>INDEX($F$6:$I$35,MATCH($B$45,$E$6:$E$35,0),3)</f>
        <v/>
      </c>
      <c r="X28" s="41" t="e">
        <f>INDEX($F$6:$I$35,MATCH($B$45,$E$6:$E$35,0),3)+INDEX($F$6:$I$35,MATCH($B$45,$E$6:$E$35,0),4)</f>
        <v>#VALUE!</v>
      </c>
      <c r="Y28" s="46" t="s">
        <v>8</v>
      </c>
      <c r="Z28" s="43" t="s">
        <v>8</v>
      </c>
    </row>
    <row r="29" spans="1:34" ht="12" customHeight="1" thickBot="1" x14ac:dyDescent="0.35">
      <c r="A29" s="68" t="s">
        <v>24</v>
      </c>
      <c r="B29" s="6"/>
      <c r="C29" s="69"/>
      <c r="E29" s="167" t="str">
        <f t="shared" si="2"/>
        <v/>
      </c>
      <c r="F29" s="168" t="str">
        <f>IF(OR(I28="",I28=0),"",IF(ROUND(MIN($V$2*3,$B$35-SUM($J$6:$J28)),0)&lt;0,0,ROUND(MIN($V$2*3,$B$35-SUM($J$6:$J28)),0)))</f>
        <v/>
      </c>
      <c r="G29" s="168" t="str">
        <f>IF(OR(F29="",F29=0),"",IF(ROUND(MIN($V$2*3,$B$35-SUM($J$6:$J28)-SUM($F29:F29)),0)&lt;0,0,ROUND(MIN($V$2*3,$B$35-SUM($J$6:$J28)-SUM($F29:F29)),0)))</f>
        <v/>
      </c>
      <c r="H29" s="168" t="str">
        <f>IF(OR(G29="",G29=0),"",IF(ROUND(MIN($V$2*3,$B$35-SUM($J$6:$J28)-SUM($F29:G29)),0)&lt;0,0,ROUND(MIN($V$2*3,$B$35-SUM($J$6:$J28)-SUM($F29:G29)),0)))</f>
        <v/>
      </c>
      <c r="I29" s="168" t="str">
        <f>IF(OR(H29="",H29=0),"",IF(ROUND(MIN($V$2*3,$B$35-SUM($J$6:$J28)-SUM($F29:H29)),0)&lt;0,0,ROUND(MIN($V$2*3,$B$35-SUM($J$6:$J28)-SUM($F29:H29)),0)))</f>
        <v/>
      </c>
      <c r="J29" s="169" t="str">
        <f t="shared" si="1"/>
        <v/>
      </c>
      <c r="L29" s="26" t="s">
        <v>5</v>
      </c>
      <c r="M29" s="47" t="e">
        <f>IF($V$8&lt;&gt;M28,"",LOOKUP($V$7,$N$3:$N$26,$O$3:$O$26))</f>
        <v>#N/A</v>
      </c>
      <c r="N29" s="47" t="e">
        <f>IF($V$8&lt;&gt;N28,"",LOOKUP($V$7,$N$3:$N$26,$O$3:$O$26))</f>
        <v>#N/A</v>
      </c>
      <c r="O29" s="47" t="e">
        <f>IF($V$8&lt;&gt;O28,"",LOOKUP($V$7,$N$3:$N$26,$O$3:$O$26))</f>
        <v>#N/A</v>
      </c>
      <c r="P29" s="48" t="e">
        <f>IF($V$8&lt;&gt;P28,"",LOOKUP($V$7,$N$3:$N$26,$O$3:$O$26))</f>
        <v>#N/A</v>
      </c>
      <c r="Q29" s="49"/>
      <c r="R29" s="22">
        <v>27</v>
      </c>
      <c r="S29" s="23" t="e">
        <f t="shared" si="0"/>
        <v>#VALUE!</v>
      </c>
      <c r="U29" s="125"/>
      <c r="V29" s="50" t="str">
        <f>TEXT(MONTH(DATE(2013,MONTH(B13)+10,1)),0)</f>
        <v>11</v>
      </c>
      <c r="W29" s="51" t="str">
        <f>INDEX($F$6:$I$35,MATCH($B$45,$E$6:$E$35,0),4)</f>
        <v/>
      </c>
      <c r="X29" s="52" t="s">
        <v>8</v>
      </c>
      <c r="Y29" s="52" t="s">
        <v>8</v>
      </c>
      <c r="Z29" s="53" t="s">
        <v>8</v>
      </c>
    </row>
    <row r="30" spans="1:34" ht="12" customHeight="1" thickBot="1" x14ac:dyDescent="0.3">
      <c r="A30" s="68" t="s">
        <v>73</v>
      </c>
      <c r="B30" s="5"/>
      <c r="C30" s="69"/>
      <c r="E30" s="167" t="str">
        <f t="shared" si="2"/>
        <v/>
      </c>
      <c r="F30" s="168" t="str">
        <f>IF(OR(I29="",I29=0),"",IF(ROUND(MIN($V$2*3,$B$35-SUM($J$6:$J29)),0)&lt;0,0,ROUND(MIN($V$2*3,$B$35-SUM($J$6:$J29)),0)))</f>
        <v/>
      </c>
      <c r="G30" s="168" t="str">
        <f>IF(OR(F30="",F30=0),"",IF(ROUND(MIN($V$2*3,$B$35-SUM($J$6:$J29)-SUM($F30:F30)),0)&lt;0,0,ROUND(MIN($V$2*3,$B$35-SUM($J$6:$J29)-SUM($F30:F30)),0)))</f>
        <v/>
      </c>
      <c r="H30" s="168" t="str">
        <f>IF(OR(G30="",G30=0),"",IF(ROUND(MIN($V$2*3,$B$35-SUM($J$6:$J29)-SUM($F30:G30)),0)&lt;0,0,ROUND(MIN($V$2*3,$B$35-SUM($J$6:$J29)-SUM($F30:G30)),0)))</f>
        <v/>
      </c>
      <c r="I30" s="168" t="str">
        <f>IF(OR(H30="",H30=0),"",IF(ROUND(MIN($V$2*3,$B$35-SUM($J$6:$J29)-SUM($F30:H30)),0)&lt;0,0,ROUND(MIN($V$2*3,$B$35-SUM($J$6:$J29)-SUM($F30:H30)),0)))</f>
        <v/>
      </c>
      <c r="J30" s="169" t="str">
        <f t="shared" si="1"/>
        <v/>
      </c>
      <c r="R30" s="22">
        <v>28</v>
      </c>
      <c r="S30" s="23" t="e">
        <f t="shared" si="0"/>
        <v>#VALUE!</v>
      </c>
    </row>
    <row r="31" spans="1:34" x14ac:dyDescent="0.25">
      <c r="A31" s="68"/>
      <c r="B31" s="70"/>
      <c r="C31" s="69"/>
      <c r="E31" s="167" t="str">
        <f t="shared" si="2"/>
        <v/>
      </c>
      <c r="F31" s="168" t="str">
        <f>IF(OR(I30="",I30=0),"",IF(ROUND(MIN($V$2*3,$B$35-SUM($J$6:$J30)),0)&lt;0,0,ROUND(MIN($V$2*3,$B$35-SUM($J$6:$J30)),0)))</f>
        <v/>
      </c>
      <c r="G31" s="168" t="str">
        <f>IF(OR(F31="",F31=0),"",IF(ROUND(MIN($V$2*3,$B$35-SUM($J$6:$J30)-SUM($F31:F31)),0)&lt;0,0,ROUND(MIN($V$2*3,$B$35-SUM($J$6:$J30)-SUM($F31:F31)),0)))</f>
        <v/>
      </c>
      <c r="H31" s="168" t="str">
        <f>IF(OR(G31="",G31=0),"",IF(ROUND(MIN($V$2*3,$B$35-SUM($J$6:$J30)-SUM($F31:G31)),0)&lt;0,0,ROUND(MIN($V$2*3,$B$35-SUM($J$6:$J30)-SUM($F31:G31)),0)))</f>
        <v/>
      </c>
      <c r="I31" s="168" t="str">
        <f>IF(OR(H31="",H31=0),"",IF(ROUND(MIN($V$2*3,$B$35-SUM($J$6:$J30)-SUM($F31:H31)),0)&lt;0,0,ROUND(MIN($V$2*3,$B$35-SUM($J$6:$J30)-SUM($F31:H31)),0)))</f>
        <v/>
      </c>
      <c r="J31" s="169" t="str">
        <f t="shared" si="1"/>
        <v/>
      </c>
      <c r="R31" s="22">
        <v>29</v>
      </c>
      <c r="S31" s="23" t="e">
        <f t="shared" si="0"/>
        <v>#VALUE!</v>
      </c>
      <c r="V31" s="36"/>
      <c r="W31" s="54">
        <v>44957</v>
      </c>
      <c r="X31" s="54">
        <v>44985</v>
      </c>
      <c r="Y31" s="54">
        <v>45016</v>
      </c>
      <c r="Z31" s="54">
        <v>45046</v>
      </c>
      <c r="AA31" s="54">
        <v>45077</v>
      </c>
      <c r="AB31" s="54">
        <v>45107</v>
      </c>
      <c r="AC31" s="54">
        <v>45138</v>
      </c>
      <c r="AD31" s="54">
        <v>45169</v>
      </c>
      <c r="AE31" s="54">
        <v>45199</v>
      </c>
      <c r="AF31" s="54">
        <v>45230</v>
      </c>
      <c r="AG31" s="54">
        <v>45260</v>
      </c>
      <c r="AH31" s="55">
        <v>45291</v>
      </c>
    </row>
    <row r="32" spans="1:34" ht="14.5" customHeight="1" x14ac:dyDescent="0.35">
      <c r="A32" s="74" t="s">
        <v>56</v>
      </c>
      <c r="B32" s="7"/>
      <c r="C32" s="69"/>
      <c r="E32" s="167" t="str">
        <f t="shared" si="2"/>
        <v/>
      </c>
      <c r="F32" s="168" t="str">
        <f>IF(OR(I31="",I31=0),"",IF(ROUND(MIN($V$2*3,$B$35-SUM($J$6:$J31)),0)&lt;0,0,ROUND(MIN($V$2*3,$B$35-SUM($J$6:$J31)),0)))</f>
        <v/>
      </c>
      <c r="G32" s="168" t="str">
        <f>IF(OR(F32="",F32=0),"",IF(ROUND(MIN($V$2*3,$B$35-SUM($J$6:$J31)-SUM($F32:F32)),0)&lt;0,0,ROUND(MIN($V$2*3,$B$35-SUM($J$6:$J31)-SUM($F32:F32)),0)))</f>
        <v/>
      </c>
      <c r="H32" s="168" t="str">
        <f>IF(OR(G32="",G32=0),"",IF(ROUND(MIN($V$2*3,$B$35-SUM($J$6:$J31)-SUM($F32:G32)),0)&lt;0,0,ROUND(MIN($V$2*3,$B$35-SUM($J$6:$J31)-SUM($F32:G32)),0)))</f>
        <v/>
      </c>
      <c r="I32" s="168" t="str">
        <f>IF(OR(H32="",H32=0),"",IF(ROUND(MIN($V$2*3,$B$35-SUM($J$6:$J31)-SUM($F32:H32)),0)&lt;0,0,ROUND(MIN($V$2*3,$B$35-SUM($J$6:$J31)-SUM($F32:H32)),0)))</f>
        <v/>
      </c>
      <c r="J32" s="169" t="str">
        <f t="shared" si="1"/>
        <v/>
      </c>
      <c r="R32" s="22">
        <v>30</v>
      </c>
      <c r="S32" s="23" t="e">
        <f t="shared" si="0"/>
        <v>#VALUE!</v>
      </c>
      <c r="V32" s="56">
        <v>1</v>
      </c>
      <c r="W32" s="46">
        <v>1</v>
      </c>
      <c r="X32" s="46">
        <v>1</v>
      </c>
      <c r="Y32" s="46">
        <v>1</v>
      </c>
      <c r="Z32" s="46">
        <v>1</v>
      </c>
      <c r="AA32" s="46">
        <v>1</v>
      </c>
      <c r="AB32" s="46">
        <v>1</v>
      </c>
      <c r="AC32" s="46">
        <v>1</v>
      </c>
      <c r="AD32" s="46">
        <v>1</v>
      </c>
      <c r="AE32" s="46">
        <v>1</v>
      </c>
      <c r="AF32" s="46">
        <v>1</v>
      </c>
      <c r="AG32" s="46">
        <v>1</v>
      </c>
      <c r="AH32" s="43">
        <v>1</v>
      </c>
    </row>
    <row r="33" spans="1:34" ht="13" thickBot="1" x14ac:dyDescent="0.3">
      <c r="A33" s="68" t="s">
        <v>16</v>
      </c>
      <c r="B33" s="6">
        <v>0</v>
      </c>
      <c r="C33" s="69"/>
      <c r="E33" s="167" t="str">
        <f t="shared" si="2"/>
        <v/>
      </c>
      <c r="F33" s="168" t="str">
        <f>IF(OR(I32="",I32=0),"",IF(ROUND(MIN($V$2*3,$B$35-SUM($J$6:$J32)),0)&lt;0,0,ROUND(MIN($V$2*3,$B$35-SUM($J$6:$J32)),0)))</f>
        <v/>
      </c>
      <c r="G33" s="168" t="str">
        <f>IF(OR(F33="",F33=0),"",IF(ROUND(MIN($V$2*3,$B$35-SUM($J$6:$J32)-SUM($F33:F33)),0)&lt;0,0,ROUND(MIN($V$2*3,$B$35-SUM($J$6:$J32)-SUM($F33:F33)),0)))</f>
        <v/>
      </c>
      <c r="H33" s="168" t="str">
        <f>IF(OR(G33="",G33=0),"",IF(ROUND(MIN($V$2*3,$B$35-SUM($J$6:$J32)-SUM($F33:G33)),0)&lt;0,0,ROUND(MIN($V$2*3,$B$35-SUM($J$6:$J32)-SUM($F33:G33)),0)))</f>
        <v/>
      </c>
      <c r="I33" s="168" t="str">
        <f>IF(OR(H33="",H33=0),"",IF(ROUND(MIN($V$2*3,$B$35-SUM($J$6:$J32)-SUM($F33:H33)),0)&lt;0,0,ROUND(MIN($V$2*3,$B$35-SUM($J$6:$J32)-SUM($F33:H33)),0)))</f>
        <v/>
      </c>
      <c r="J33" s="169" t="str">
        <f t="shared" si="1"/>
        <v/>
      </c>
      <c r="R33" s="38">
        <v>31</v>
      </c>
      <c r="S33" s="40" t="e">
        <f t="shared" si="0"/>
        <v>#VALUE!</v>
      </c>
      <c r="V33" s="56">
        <v>2</v>
      </c>
      <c r="W33" s="46">
        <v>2</v>
      </c>
      <c r="X33" s="46">
        <v>1</v>
      </c>
      <c r="Y33" s="46">
        <v>1</v>
      </c>
      <c r="Z33" s="46">
        <v>1</v>
      </c>
      <c r="AA33" s="46">
        <v>1</v>
      </c>
      <c r="AB33" s="46">
        <v>1</v>
      </c>
      <c r="AC33" s="46">
        <v>1</v>
      </c>
      <c r="AD33" s="46">
        <v>1</v>
      </c>
      <c r="AE33" s="46">
        <v>1</v>
      </c>
      <c r="AF33" s="46">
        <v>1</v>
      </c>
      <c r="AG33" s="46">
        <v>1</v>
      </c>
      <c r="AH33" s="43">
        <v>1</v>
      </c>
    </row>
    <row r="34" spans="1:34" ht="13" thickBot="1" x14ac:dyDescent="0.3">
      <c r="A34" s="68"/>
      <c r="B34" s="75"/>
      <c r="C34" s="69"/>
      <c r="E34" s="167" t="str">
        <f>IF(OR(F34="",F34=0),"",E33+1)</f>
        <v/>
      </c>
      <c r="F34" s="168" t="str">
        <f>IF(OR(I33="",I33=0),"",IF(ROUND(MIN($V$2*3,$B$35-SUM($J$6:$J33)),0)&lt;0,0,ROUND(MIN($V$2*3,$B$35-SUM($J$6:$J33)),0)))</f>
        <v/>
      </c>
      <c r="G34" s="168" t="str">
        <f>IF(OR(F34="",F34=0),"",IF(ROUND(MIN($V$2*3,$B$35-SUM($J$6:$J33)-SUM($F34:F34)),0)&lt;0,0,ROUND(MIN($V$2*3,$B$35-SUM($J$6:$J33)-SUM($F34:F34)),0)))</f>
        <v/>
      </c>
      <c r="H34" s="168" t="str">
        <f>IF(OR(G34="",G34=0),"",IF(ROUND(MIN($V$2*3,$B$35-SUM($J$6:$J33)-SUM($F34:G34)),0)&lt;0,0,ROUND(MIN($V$2*3,$B$35-SUM($J$6:$J33)-SUM($F34:G34)),0)))</f>
        <v/>
      </c>
      <c r="I34" s="168" t="str">
        <f>IF(OR(H34="",H34=0),"",IF(ROUND(MIN($V$2*3,$B$35-SUM($J$6:$J33)-SUM($F34:H34)),0)&lt;0,0,ROUND(MIN($V$2*3,$B$35-SUM($J$6:$J33)-SUM($F34:H34)),0)))</f>
        <v/>
      </c>
      <c r="J34" s="169" t="str">
        <f t="shared" si="1"/>
        <v/>
      </c>
      <c r="V34" s="56">
        <v>3</v>
      </c>
      <c r="W34" s="46">
        <v>2</v>
      </c>
      <c r="X34" s="46">
        <v>2</v>
      </c>
      <c r="Y34" s="46">
        <v>1</v>
      </c>
      <c r="Z34" s="46">
        <v>1</v>
      </c>
      <c r="AA34" s="46">
        <v>1</v>
      </c>
      <c r="AB34" s="46">
        <v>1</v>
      </c>
      <c r="AC34" s="46">
        <v>1</v>
      </c>
      <c r="AD34" s="46">
        <v>1</v>
      </c>
      <c r="AE34" s="46">
        <v>1</v>
      </c>
      <c r="AF34" s="46">
        <v>1</v>
      </c>
      <c r="AG34" s="46">
        <v>1</v>
      </c>
      <c r="AH34" s="43">
        <v>1</v>
      </c>
    </row>
    <row r="35" spans="1:34" ht="13" x14ac:dyDescent="0.3">
      <c r="A35" s="68" t="s">
        <v>74</v>
      </c>
      <c r="B35" s="76">
        <f>IF(MIN(IF(B14="Y",B25-B32,B27-B32),100000-B33-B34)&lt;0,0,MIN(IF(B14="Y",B25-B32,B27-B32),100000-B33-B34))</f>
        <v>0</v>
      </c>
      <c r="C35" s="69"/>
      <c r="E35" s="167" t="str">
        <f t="shared" si="2"/>
        <v/>
      </c>
      <c r="F35" s="170" t="str">
        <f>IF(OR(I34="",I34=0),"",IF(ROUND(MIN($V$2*3,$B$35-SUM($J$6:$J34)),0)&lt;0,0,ROUND(MIN($V$2*3,$B$35-SUM($J$6:$J34)),0)))</f>
        <v/>
      </c>
      <c r="G35" s="170" t="str">
        <f>IF(OR(F35="",F35=0),"",IF(ROUND(MIN($V$2*3,$B$35-SUM($J$6:$J34)-SUM($F35:F35)),0)&lt;0,0,ROUND(MIN($V$2*3,$B$35-SUM($J$6:$J34)-SUM($F35:F35)),0)))</f>
        <v/>
      </c>
      <c r="H35" s="170" t="str">
        <f>IF(OR(G35="",G35=0),"",IF(ROUND(MIN($V$2*3,$B$35-SUM($J$6:$J34)-SUM($F35:G35)),0)&lt;0,0,ROUND(MIN($V$2*3,$B$35-SUM($J$6:$J34)-SUM($F35:G35)),0)))</f>
        <v/>
      </c>
      <c r="I35" s="170" t="str">
        <f>IF(OR(H35="",H35=0),"",IF(ROUND(MIN($V$2*3,$B$35-SUM($J$6:$J34)-SUM($F35:H35)),0)&lt;0,0,ROUND(MIN($V$2*3,$B$35-SUM($J$6:$J34)-SUM($F35:H35)),0)))</f>
        <v/>
      </c>
      <c r="J35" s="171" t="str">
        <f t="shared" si="1"/>
        <v/>
      </c>
      <c r="R35" s="57" t="s">
        <v>11</v>
      </c>
      <c r="V35" s="56">
        <v>4</v>
      </c>
      <c r="W35" s="46">
        <v>2</v>
      </c>
      <c r="X35" s="46">
        <v>2</v>
      </c>
      <c r="Y35" s="46">
        <v>2</v>
      </c>
      <c r="Z35" s="46">
        <v>1</v>
      </c>
      <c r="AA35" s="46">
        <v>1</v>
      </c>
      <c r="AB35" s="46">
        <v>1</v>
      </c>
      <c r="AC35" s="46">
        <v>1</v>
      </c>
      <c r="AD35" s="46">
        <v>1</v>
      </c>
      <c r="AE35" s="46">
        <v>1</v>
      </c>
      <c r="AF35" s="46">
        <v>1</v>
      </c>
      <c r="AG35" s="46">
        <v>1</v>
      </c>
      <c r="AH35" s="43">
        <v>1</v>
      </c>
    </row>
    <row r="36" spans="1:34" ht="13.5" thickBot="1" x14ac:dyDescent="0.3">
      <c r="A36" s="77"/>
      <c r="B36" s="75"/>
      <c r="C36" s="69"/>
      <c r="E36" s="172" t="str">
        <f t="shared" si="2"/>
        <v/>
      </c>
      <c r="F36" s="173" t="str">
        <f>IF(OR(I35="",I35=0),"",IF(ROUND(MIN($V$2*3,$B$35-SUM($J$6:$J35)),0)&lt;0,0,ROUND(MIN($V$2*3,$B$35-SUM($J$6:$J35)),0)))</f>
        <v/>
      </c>
      <c r="G36" s="173" t="str">
        <f>IF(OR(F36="",F36=0),"",IF(ROUND(MIN($V$2*3,$B$35-SUM($J$6:$J35)-SUM($F36:F36)),0)&lt;0,0,ROUND(MIN($V$2*3,$B$35-SUM($J$6:$J35)-SUM($F36:F36)),0)))</f>
        <v/>
      </c>
      <c r="H36" s="173" t="str">
        <f>IF(OR(G36="",G36=0),"",IF(ROUND(MIN($V$2*3,$B$35-SUM($J$6:$J35)-SUM($F36:G36)),0)&lt;0,0,ROUND(MIN($V$2*3,$B$35-SUM($J$6:$J35)-SUM($F36:G36)),0)))</f>
        <v/>
      </c>
      <c r="I36" s="173" t="str">
        <f>IF(OR(H36="",H36=0),"",IF(ROUND(MIN($V$2*3,$B$35-SUM($J$6:$J35)-SUM($F36:H36)),0)&lt;0,0,ROUND(MIN($V$2*3,$B$35-SUM($J$6:$J35)-SUM($F36:H36)),0)))</f>
        <v/>
      </c>
      <c r="J36" s="174" t="str">
        <f t="shared" si="1"/>
        <v/>
      </c>
      <c r="R36" s="58">
        <v>44957</v>
      </c>
      <c r="U36" s="59"/>
      <c r="V36" s="56">
        <v>5</v>
      </c>
      <c r="W36" s="46">
        <v>2</v>
      </c>
      <c r="X36" s="46">
        <v>2</v>
      </c>
      <c r="Y36" s="46">
        <v>2</v>
      </c>
      <c r="Z36" s="46">
        <v>2</v>
      </c>
      <c r="AA36" s="46">
        <v>1</v>
      </c>
      <c r="AB36" s="46">
        <v>1</v>
      </c>
      <c r="AC36" s="46">
        <v>1</v>
      </c>
      <c r="AD36" s="46">
        <v>1</v>
      </c>
      <c r="AE36" s="46">
        <v>1</v>
      </c>
      <c r="AF36" s="46">
        <v>1</v>
      </c>
      <c r="AG36" s="46">
        <v>1</v>
      </c>
      <c r="AH36" s="43">
        <v>1</v>
      </c>
    </row>
    <row r="37" spans="1:34" ht="13.5" thickBot="1" x14ac:dyDescent="0.35">
      <c r="A37" s="68"/>
      <c r="B37" s="70"/>
      <c r="C37" s="69"/>
      <c r="D37" s="78"/>
      <c r="E37" s="175" t="s">
        <v>1</v>
      </c>
      <c r="F37" s="176"/>
      <c r="G37" s="176"/>
      <c r="H37" s="176"/>
      <c r="I37" s="176"/>
      <c r="J37" s="177">
        <f>SUM(J6:J35)</f>
        <v>0</v>
      </c>
      <c r="R37" s="58">
        <v>44985</v>
      </c>
      <c r="V37" s="56">
        <v>6</v>
      </c>
      <c r="W37" s="46">
        <v>2</v>
      </c>
      <c r="X37" s="46">
        <v>2</v>
      </c>
      <c r="Y37" s="46">
        <v>2</v>
      </c>
      <c r="Z37" s="46">
        <v>2</v>
      </c>
      <c r="AA37" s="46">
        <v>2</v>
      </c>
      <c r="AB37" s="46">
        <v>1</v>
      </c>
      <c r="AC37" s="46">
        <v>1</v>
      </c>
      <c r="AD37" s="46">
        <v>1</v>
      </c>
      <c r="AE37" s="46">
        <v>1</v>
      </c>
      <c r="AF37" s="46">
        <v>1</v>
      </c>
      <c r="AG37" s="46">
        <v>1</v>
      </c>
      <c r="AH37" s="43">
        <v>1</v>
      </c>
    </row>
    <row r="38" spans="1:34" ht="13.5" thickBot="1" x14ac:dyDescent="0.3">
      <c r="A38" s="65" t="s">
        <v>17</v>
      </c>
      <c r="B38" s="71"/>
      <c r="C38" s="67"/>
      <c r="E38" s="178" t="s">
        <v>66</v>
      </c>
      <c r="R38" s="58">
        <v>45016</v>
      </c>
      <c r="V38" s="56">
        <v>7</v>
      </c>
      <c r="W38" s="46">
        <v>2</v>
      </c>
      <c r="X38" s="46">
        <v>2</v>
      </c>
      <c r="Y38" s="46">
        <v>2</v>
      </c>
      <c r="Z38" s="46">
        <v>2</v>
      </c>
      <c r="AA38" s="46">
        <v>2</v>
      </c>
      <c r="AB38" s="46">
        <v>2</v>
      </c>
      <c r="AC38" s="46">
        <v>1</v>
      </c>
      <c r="AD38" s="46">
        <v>1</v>
      </c>
      <c r="AE38" s="46">
        <v>1</v>
      </c>
      <c r="AF38" s="46">
        <v>1</v>
      </c>
      <c r="AG38" s="46">
        <v>1</v>
      </c>
      <c r="AH38" s="43">
        <v>1</v>
      </c>
    </row>
    <row r="39" spans="1:34" ht="12" customHeight="1" x14ac:dyDescent="0.25">
      <c r="A39" s="79"/>
      <c r="B39" s="70"/>
      <c r="C39" s="69"/>
      <c r="E39" s="180"/>
      <c r="F39" s="181"/>
      <c r="G39" s="181"/>
      <c r="H39" s="181"/>
      <c r="I39" s="181"/>
      <c r="J39" s="182"/>
      <c r="R39" s="58">
        <v>45046</v>
      </c>
      <c r="V39" s="56">
        <v>8</v>
      </c>
      <c r="W39" s="46">
        <v>2</v>
      </c>
      <c r="X39" s="46">
        <v>2</v>
      </c>
      <c r="Y39" s="46">
        <v>2</v>
      </c>
      <c r="Z39" s="46">
        <v>2</v>
      </c>
      <c r="AA39" s="46">
        <v>2</v>
      </c>
      <c r="AB39" s="46">
        <v>2</v>
      </c>
      <c r="AC39" s="46">
        <v>2</v>
      </c>
      <c r="AD39" s="46">
        <v>1</v>
      </c>
      <c r="AE39" s="46">
        <v>1</v>
      </c>
      <c r="AF39" s="46">
        <v>1</v>
      </c>
      <c r="AG39" s="46">
        <v>1</v>
      </c>
      <c r="AH39" s="43">
        <v>1</v>
      </c>
    </row>
    <row r="40" spans="1:34" ht="12" customHeight="1" x14ac:dyDescent="0.25">
      <c r="A40" s="68" t="s">
        <v>61</v>
      </c>
      <c r="B40" s="70"/>
      <c r="C40" s="69"/>
      <c r="E40" s="182"/>
      <c r="F40" s="181"/>
      <c r="G40" s="181"/>
      <c r="H40" s="181"/>
      <c r="I40" s="181"/>
      <c r="J40" s="182"/>
      <c r="R40" s="58">
        <v>45077</v>
      </c>
      <c r="V40" s="56">
        <v>9</v>
      </c>
      <c r="W40" s="46">
        <v>2</v>
      </c>
      <c r="X40" s="46">
        <v>2</v>
      </c>
      <c r="Y40" s="46">
        <v>2</v>
      </c>
      <c r="Z40" s="46">
        <v>2</v>
      </c>
      <c r="AA40" s="46">
        <v>2</v>
      </c>
      <c r="AB40" s="46">
        <v>2</v>
      </c>
      <c r="AC40" s="46">
        <v>2</v>
      </c>
      <c r="AD40" s="46">
        <v>2</v>
      </c>
      <c r="AE40" s="46">
        <v>1</v>
      </c>
      <c r="AF40" s="46">
        <v>1</v>
      </c>
      <c r="AG40" s="46">
        <v>1</v>
      </c>
      <c r="AH40" s="43">
        <v>1</v>
      </c>
    </row>
    <row r="41" spans="1:34" ht="12" customHeight="1" x14ac:dyDescent="0.25">
      <c r="A41" s="80"/>
      <c r="B41" s="70"/>
      <c r="C41" s="69"/>
      <c r="E41" s="183"/>
      <c r="F41" s="184"/>
      <c r="G41" s="185"/>
      <c r="H41" s="186"/>
      <c r="I41" s="187"/>
      <c r="J41" s="188"/>
      <c r="R41" s="58">
        <v>45107</v>
      </c>
      <c r="V41" s="56">
        <v>10</v>
      </c>
      <c r="W41" s="46">
        <v>2</v>
      </c>
      <c r="X41" s="46">
        <v>2</v>
      </c>
      <c r="Y41" s="46">
        <v>2</v>
      </c>
      <c r="Z41" s="46">
        <v>2</v>
      </c>
      <c r="AA41" s="46">
        <v>2</v>
      </c>
      <c r="AB41" s="46">
        <v>2</v>
      </c>
      <c r="AC41" s="46">
        <v>2</v>
      </c>
      <c r="AD41" s="46">
        <v>2</v>
      </c>
      <c r="AE41" s="46">
        <v>2</v>
      </c>
      <c r="AF41" s="46">
        <v>1</v>
      </c>
      <c r="AG41" s="46">
        <v>1</v>
      </c>
      <c r="AH41" s="43">
        <v>1</v>
      </c>
    </row>
    <row r="42" spans="1:34" ht="12" customHeight="1" x14ac:dyDescent="0.25">
      <c r="A42" s="68" t="s">
        <v>64</v>
      </c>
      <c r="B42" s="14"/>
      <c r="C42" s="69"/>
      <c r="E42" s="183"/>
      <c r="F42" s="186"/>
      <c r="G42" s="189"/>
      <c r="H42" s="186"/>
      <c r="I42" s="187"/>
      <c r="J42" s="190"/>
      <c r="R42" s="58">
        <v>45138</v>
      </c>
      <c r="V42" s="56">
        <v>11</v>
      </c>
      <c r="W42" s="46">
        <v>2</v>
      </c>
      <c r="X42" s="46">
        <v>2</v>
      </c>
      <c r="Y42" s="46">
        <v>2</v>
      </c>
      <c r="Z42" s="46">
        <v>2</v>
      </c>
      <c r="AA42" s="46">
        <v>2</v>
      </c>
      <c r="AB42" s="46">
        <v>2</v>
      </c>
      <c r="AC42" s="46">
        <v>2</v>
      </c>
      <c r="AD42" s="46">
        <v>2</v>
      </c>
      <c r="AE42" s="46">
        <v>2</v>
      </c>
      <c r="AF42" s="46">
        <v>2</v>
      </c>
      <c r="AG42" s="46">
        <v>1</v>
      </c>
      <c r="AH42" s="43">
        <v>1</v>
      </c>
    </row>
    <row r="43" spans="1:34" ht="12" customHeight="1" thickBot="1" x14ac:dyDescent="0.3">
      <c r="A43" s="68" t="s">
        <v>65</v>
      </c>
      <c r="B43" s="14"/>
      <c r="C43" s="69"/>
      <c r="E43" s="191"/>
      <c r="F43" s="186"/>
      <c r="G43" s="186"/>
      <c r="H43" s="186"/>
      <c r="I43" s="186"/>
      <c r="J43" s="192"/>
      <c r="R43" s="58">
        <v>45169</v>
      </c>
      <c r="V43" s="60">
        <v>12</v>
      </c>
      <c r="W43" s="52">
        <v>2</v>
      </c>
      <c r="X43" s="52">
        <v>2</v>
      </c>
      <c r="Y43" s="52">
        <v>2</v>
      </c>
      <c r="Z43" s="52">
        <v>2</v>
      </c>
      <c r="AA43" s="52">
        <v>2</v>
      </c>
      <c r="AB43" s="52">
        <v>2</v>
      </c>
      <c r="AC43" s="52">
        <v>2</v>
      </c>
      <c r="AD43" s="52">
        <v>2</v>
      </c>
      <c r="AE43" s="52">
        <v>2</v>
      </c>
      <c r="AF43" s="52">
        <v>2</v>
      </c>
      <c r="AG43" s="52">
        <v>2</v>
      </c>
      <c r="AH43" s="53">
        <v>1</v>
      </c>
    </row>
    <row r="44" spans="1:34" ht="12" customHeight="1" x14ac:dyDescent="0.25">
      <c r="A44" s="68"/>
      <c r="C44" s="69"/>
      <c r="E44" s="193"/>
      <c r="F44" s="193"/>
      <c r="G44" s="193"/>
      <c r="H44" s="193"/>
      <c r="I44" s="193"/>
      <c r="J44" s="193"/>
      <c r="R44" s="58">
        <v>45199</v>
      </c>
    </row>
    <row r="45" spans="1:34" ht="12" customHeight="1" x14ac:dyDescent="0.25">
      <c r="A45" s="81" t="s">
        <v>26</v>
      </c>
      <c r="B45" s="82" t="str">
        <f>IF(IF(ISERROR(IF(B42&gt;V9,YEAR(V9)+2,YEAR(V9)+1)),”Please enter the correct relevant period”, IF(B42&gt;V9,YEAR(V9)+2,YEAR(V9)+1))=1901,"",IF(ISERROR(IF(B42&gt;V9,YEAR(V9)+2,YEAR(V9)+1)), "Please enter the correct relevant period", IF(B42&gt;V9,YEAR(V9)+2,YEAR(V9)+1)))</f>
        <v/>
      </c>
      <c r="C45" s="69"/>
      <c r="E45" s="193"/>
      <c r="F45" s="193"/>
      <c r="G45" s="193"/>
      <c r="H45" s="193"/>
      <c r="I45" s="193"/>
      <c r="J45" s="193"/>
      <c r="R45" s="58">
        <v>45230</v>
      </c>
    </row>
    <row r="46" spans="1:34" ht="12" customHeight="1" thickBot="1" x14ac:dyDescent="0.3">
      <c r="A46" s="80"/>
      <c r="B46" s="82"/>
      <c r="C46" s="69"/>
      <c r="E46" s="193"/>
      <c r="F46" s="193"/>
      <c r="G46" s="193"/>
      <c r="H46" s="193"/>
      <c r="I46" s="193"/>
      <c r="J46" s="193"/>
      <c r="R46" s="58">
        <v>45260</v>
      </c>
    </row>
    <row r="47" spans="1:34" ht="12" customHeight="1" thickBot="1" x14ac:dyDescent="0.3">
      <c r="A47" s="80" t="s">
        <v>27</v>
      </c>
      <c r="B47" s="83" t="str">
        <f>IF(ISERROR(INDEX(W26:Z29,MATCH(TEXT(MONTH(B42),0),V26:V29,0),MATCH((YEAR(B43)-YEAR(B42))*12+MONTH(B43)-MONTH(B42),W25:Z25,0))),"Please enter the correct relevant period",INDEX(W26:Z29,MATCH(TEXT(MONTH(B42),0),V26:V29,0),MATCH((YEAR(B43)-YEAR(B42))*12+MONTH(B43)-MONTH(B42),W25:Z25,0)))</f>
        <v>Please enter the correct relevant period</v>
      </c>
      <c r="C47" s="69"/>
      <c r="E47" s="193"/>
      <c r="F47" s="193"/>
      <c r="G47" s="193"/>
      <c r="H47" s="193"/>
      <c r="I47" s="193"/>
      <c r="J47" s="193"/>
      <c r="R47" s="61">
        <v>45291</v>
      </c>
    </row>
    <row r="48" spans="1:34" ht="12" customHeight="1" x14ac:dyDescent="0.25">
      <c r="A48" s="68"/>
      <c r="B48" s="70" t="s">
        <v>18</v>
      </c>
      <c r="C48" s="69"/>
      <c r="R48" s="62"/>
    </row>
    <row r="49" spans="1:18" ht="12" customHeight="1" thickBot="1" x14ac:dyDescent="0.3">
      <c r="A49" s="84"/>
      <c r="B49" s="85"/>
      <c r="C49" s="86"/>
    </row>
    <row r="51" spans="1:18" x14ac:dyDescent="0.25">
      <c r="R51" s="62"/>
    </row>
  </sheetData>
  <sheetProtection algorithmName="SHA-512" hashValue="ePOvooGnG4x4QJhIfGMTv4wLpkQ2ZtFALB0/t2pEA7n+Vx4UBgylUbWGzZKsqvrCBkeooT7RGNAIgPUu+B10Og==" saltValue="dBWVbpWn+GznYRvRbvpdxA==" spinCount="100000" sheet="1"/>
  <sortState xmlns:xlrd2="http://schemas.microsoft.com/office/spreadsheetml/2017/richdata2" ref="R36:R48">
    <sortCondition sortBy="cellColor" ref="R48" dxfId="0"/>
  </sortState>
  <dataConsolidate/>
  <mergeCells count="14">
    <mergeCell ref="E44:J47"/>
    <mergeCell ref="I41:I42"/>
    <mergeCell ref="E41:E42"/>
    <mergeCell ref="U25:U29"/>
    <mergeCell ref="A1:C2"/>
    <mergeCell ref="A3:C9"/>
    <mergeCell ref="W24:Z24"/>
    <mergeCell ref="R2:S2"/>
    <mergeCell ref="F4:I4"/>
    <mergeCell ref="E4:E5"/>
    <mergeCell ref="J4:J5"/>
    <mergeCell ref="N2:O2"/>
    <mergeCell ref="L2:M2"/>
    <mergeCell ref="E1:J2"/>
  </mergeCells>
  <phoneticPr fontId="1" type="noConversion"/>
  <dataValidations xWindow="506" yWindow="882" count="8">
    <dataValidation type="list" allowBlank="1" showErrorMessage="1" errorTitle="Wrong Input" error="Please select from the drop down list." sqref="B14" xr:uid="{00000000-0002-0000-0100-000000000000}">
      <formula1>"Y,N"</formula1>
    </dataValidation>
    <dataValidation type="list" allowBlank="1" showInputMessage="1" showErrorMessage="1" errorTitle="Error" error="Please choose the accounting year end from the dropdown box." sqref="B13" xr:uid="{00000000-0002-0000-0100-000001000000}">
      <formula1>$R$36:$R$47</formula1>
    </dataValidation>
    <dataValidation allowBlank="1" showInputMessage="1" showErrorMessage="1" promptTitle="Note" prompt="Enter the qualifying costs for all other activities claimed for the YA, including:_x000a__x000a_1) Training_x000a_2) Innovation projects_x000a_3) IPR acquisition and registration_x000a_4) R&amp;D_x000a__x000a_(Exclude HP equipment for the YA)" sqref="B33" xr:uid="{00000000-0002-0000-0100-000002000000}"/>
    <dataValidation allowBlank="1" showInputMessage="1" showErrorMessage="1" promptTitle="Note" prompt="Enter non-qualifying costs included in the cash purchase price (B8). E.g. Government grant, subsidy, etc." sqref="B32" xr:uid="{00000000-0002-0000-0100-000003000000}"/>
    <dataValidation allowBlank="1" showInputMessage="1" showErrorMessage="1" promptTitle="Note" prompt="Cash purchase price as per invoice_x000a__x000a_This amount should not include the amount of:_x000a_- GST (to be entered in B9) _x000a_- Term Charges/ HP interest (to be entered in B12)" sqref="B25" xr:uid="{00000000-0002-0000-0100-000004000000}"/>
    <dataValidation type="date" allowBlank="1" showInputMessage="1" showErrorMessage="1" errorTitle="Error" error="Please enter a valid date in the format dd/mm/yyyy." promptTitle="Note" sqref="B42" xr:uid="{00000000-0002-0000-0100-000005000000}">
      <formula1>44927</formula1>
      <formula2>46752</formula2>
    </dataValidation>
    <dataValidation type="date" operator="lessThanOrEqual" allowBlank="1" showInputMessage="1" showErrorMessage="1" sqref="B43" xr:uid="{00000000-0002-0000-0100-000006000000}">
      <formula1>46752</formula1>
    </dataValidation>
    <dataValidation type="date" allowBlank="1" showInputMessage="1" showErrorMessage="1" sqref="B18:B19" xr:uid="{00000000-0002-0000-0100-000007000000}">
      <formula1>44927</formula1>
      <formula2>46752</formula2>
    </dataValidation>
  </dataValidations>
  <pageMargins left="0.74803149606299202" right="0.74803149606299202" top="0.98425196850393704" bottom="0.98425196850393704" header="0.511811023622047" footer="0.511811023622047"/>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2"/>
  <sheetViews>
    <sheetView showGridLines="0" workbookViewId="0">
      <selection activeCell="E3" sqref="E1:J1048576"/>
    </sheetView>
  </sheetViews>
  <sheetFormatPr defaultColWidth="10.83203125" defaultRowHeight="12.5" x14ac:dyDescent="0.25"/>
  <cols>
    <col min="1" max="1" width="46.08203125" style="64" customWidth="1"/>
    <col min="2" max="2" width="35.25" style="64" customWidth="1"/>
    <col min="3" max="4" width="5" style="64" customWidth="1"/>
    <col min="5" max="5" width="25.5" style="179" customWidth="1"/>
    <col min="6" max="9" width="10.83203125" style="154" hidden="1" customWidth="1"/>
    <col min="10" max="10" width="57.5" style="179" customWidth="1"/>
    <col min="11" max="11" width="10.83203125" style="1"/>
    <col min="12" max="20" width="10.83203125" style="1" hidden="1" customWidth="1"/>
    <col min="21" max="21" width="31.33203125" style="1" hidden="1" customWidth="1"/>
    <col min="22" max="34" width="10.83203125" style="1" hidden="1" customWidth="1"/>
    <col min="35" max="35" width="10.83203125" style="1"/>
    <col min="36" max="16384" width="10.83203125" style="64"/>
  </cols>
  <sheetData>
    <row r="1" spans="1:22" ht="18.649999999999999" customHeight="1" thickBot="1" x14ac:dyDescent="0.35">
      <c r="A1" s="126" t="s">
        <v>101</v>
      </c>
      <c r="B1" s="127"/>
      <c r="C1" s="128"/>
      <c r="D1" s="63"/>
      <c r="E1" s="147" t="s">
        <v>101</v>
      </c>
      <c r="F1" s="148"/>
      <c r="G1" s="148"/>
      <c r="H1" s="148"/>
      <c r="I1" s="148"/>
      <c r="J1" s="149"/>
    </row>
    <row r="2" spans="1:22" ht="43.5" customHeight="1" thickBot="1" x14ac:dyDescent="0.35">
      <c r="A2" s="129"/>
      <c r="B2" s="130"/>
      <c r="C2" s="131"/>
      <c r="D2" s="63"/>
      <c r="E2" s="150"/>
      <c r="F2" s="151"/>
      <c r="G2" s="151"/>
      <c r="H2" s="151"/>
      <c r="I2" s="151"/>
      <c r="J2" s="152"/>
      <c r="L2" s="124" t="s">
        <v>2</v>
      </c>
      <c r="M2" s="122"/>
      <c r="N2" s="122" t="s">
        <v>4</v>
      </c>
      <c r="O2" s="123"/>
      <c r="R2" s="120" t="s">
        <v>0</v>
      </c>
      <c r="S2" s="121"/>
      <c r="U2" s="17" t="s">
        <v>6</v>
      </c>
      <c r="V2" s="18" t="e">
        <f>IF(B14="Y",(B25-B32-MAX(B29-B26,0))/B20,(B27-B32-B29)/B20)</f>
        <v>#DIV/0!</v>
      </c>
    </row>
    <row r="3" spans="1:22" ht="15" customHeight="1" thickBot="1" x14ac:dyDescent="0.35">
      <c r="A3" s="132" t="s">
        <v>96</v>
      </c>
      <c r="B3" s="133"/>
      <c r="C3" s="134"/>
      <c r="E3" s="153" t="s">
        <v>90</v>
      </c>
      <c r="J3" s="155"/>
      <c r="L3" s="19">
        <v>1</v>
      </c>
      <c r="M3" s="20">
        <v>1</v>
      </c>
      <c r="N3" s="20">
        <v>1</v>
      </c>
      <c r="O3" s="21">
        <v>3</v>
      </c>
      <c r="R3" s="22">
        <v>1</v>
      </c>
      <c r="S3" s="23"/>
      <c r="U3" s="24" t="s">
        <v>15</v>
      </c>
      <c r="V3" s="25">
        <f>IF(B14="Y",B25-B32,B27-B32)</f>
        <v>0</v>
      </c>
    </row>
    <row r="4" spans="1:22" ht="15" customHeight="1" thickBot="1" x14ac:dyDescent="0.35">
      <c r="A4" s="135"/>
      <c r="B4" s="136"/>
      <c r="C4" s="137"/>
      <c r="E4" s="156" t="s">
        <v>0</v>
      </c>
      <c r="F4" s="157" t="s">
        <v>2</v>
      </c>
      <c r="G4" s="158"/>
      <c r="H4" s="158"/>
      <c r="I4" s="159"/>
      <c r="J4" s="160" t="s">
        <v>78</v>
      </c>
      <c r="L4" s="19">
        <v>2</v>
      </c>
      <c r="M4" s="20">
        <v>1</v>
      </c>
      <c r="N4" s="20">
        <v>2</v>
      </c>
      <c r="O4" s="21">
        <v>2</v>
      </c>
      <c r="R4" s="22">
        <v>2</v>
      </c>
      <c r="S4" s="23" t="e">
        <f t="shared" ref="S4:S33" si="0">$E$6+MIN(R3,$B$20/12)</f>
        <v>#VALUE!</v>
      </c>
      <c r="U4" s="26" t="s">
        <v>7</v>
      </c>
      <c r="V4" s="27">
        <f>IF(B14="Y",MAX(B29-B26,0),B29)</f>
        <v>0</v>
      </c>
    </row>
    <row r="5" spans="1:22" ht="15" customHeight="1" thickBot="1" x14ac:dyDescent="0.3">
      <c r="A5" s="135"/>
      <c r="B5" s="136"/>
      <c r="C5" s="137"/>
      <c r="E5" s="161"/>
      <c r="F5" s="162">
        <v>1</v>
      </c>
      <c r="G5" s="162">
        <v>2</v>
      </c>
      <c r="H5" s="162">
        <v>3</v>
      </c>
      <c r="I5" s="162">
        <v>4</v>
      </c>
      <c r="J5" s="163"/>
      <c r="L5" s="19">
        <v>3</v>
      </c>
      <c r="M5" s="20">
        <v>1</v>
      </c>
      <c r="N5" s="20">
        <v>3</v>
      </c>
      <c r="O5" s="21">
        <v>1</v>
      </c>
      <c r="R5" s="22">
        <v>3</v>
      </c>
      <c r="S5" s="23" t="e">
        <f t="shared" si="0"/>
        <v>#VALUE!</v>
      </c>
    </row>
    <row r="6" spans="1:22" ht="15" customHeight="1" thickBot="1" x14ac:dyDescent="0.3">
      <c r="A6" s="135"/>
      <c r="B6" s="136"/>
      <c r="C6" s="137"/>
      <c r="E6" s="164" t="str">
        <f>IF(ISERROR(IF(YEAR(B19)+INDEX(W32:AH44,MATCH(MONTH(B19),V32:V44,0),MATCH(B13,W31:AH31,0))=1901,"",MIN(YEAR(B18)+INDEX(W32:AH44,MATCH(MONTH(B18),V32:V44,0),MATCH(B13,W31:AH31,0)),YEAR(B19)+INDEX(W32:AH44,MATCH(MONTH(B19),V32:V44,0),MATCH(B13,W31:AH31,0))))),"",IF(YEAR(B19)+INDEX(W32:AH44,MATCH(MONTH(B19),V32:V44,0),MATCH(B13,W31:AH31,0))=1901,"",MIN(YEAR(B18)+INDEX(W32:AH44,MATCH(MONTH(B18),V32:V44,0),MATCH(B13,W31:AH31,0)),YEAR(B19)+INDEX(W32:AH44,MATCH(MONTH(B19),V32:V44,0),MATCH(B13,W31:AH31,0)))))</f>
        <v/>
      </c>
      <c r="F6" s="165" t="str">
        <f>IF(ISERROR(ROUND(MIN(IF(AND($V$21=$E$6,$V$13=F5),$V$4,0)+IF(AND($V$17=$E$6,$V$8=F5),$V$2*M29,0),$B$36),0)),"",ROUND(MIN(IF(AND($V$21=$E$6,$V$13=F5),$V$4,0)+IF(AND($V$17=$E$6,$V$8=F5),$V$2*M29,0),$B$36),0))</f>
        <v/>
      </c>
      <c r="G6" s="165" t="str">
        <f>IF(ISERROR(ROUND(MIN(IF(AND($V$21=$E$6,$V$13=G5),$V$4,0)+IF(ISERROR(IF(AND($V$17=$E$6,$V$8=G5),$V$2*N29,0)),0,IF(AND($V$17=$E$6,$V$8=G5),$V$2*N29,0))+IF(AND($V$8&lt;G5,$V$17=$E$6),$V$2*3,0),$B$36-SUM($F$6:F6)),0)),"",ROUND(MIN(IF(AND($V$21=$E$6,$V$13=G5),$V$4,0)+IF(ISERROR(IF(AND($V$17=$E$6,$V$8=G5),$V$2*N29,0)),0,IF(AND($V$17=$E$6,$V$8=G5),$V$2*N29,0))+IF(AND($V$8&lt;G5,$V$17=$E$6),$V$2*3,0),$B$36-SUM($F$6:F6)),0))</f>
        <v/>
      </c>
      <c r="H6" s="165" t="str">
        <f>IF(ISERROR(ROUND(MIN(IF(AND($V$21=$E$6,$V$13=H5),$V$4,0)+IF(ISERROR(IF(AND($V$17=$E$6,$V$8=H5),$V$2*O29,0)),0,IF(AND($V$17=$E$6,$V$8=H5),$V$2*O29,0))+IF(AND($V$8&lt;H5,$V$17=$E$6),$V$2*3,0),$B$36-SUM($F$6:G6)),0)),"",ROUND(MIN(IF(AND($V$21=$E$6,$V$13=H5),$V$4,0)+IF(ISERROR(IF(AND($V$17=$E$6,$V$8=H5),$V$2*O29,0)),0,IF(AND($V$17=$E$6,$V$8=H5),$V$2*O29,0))+IF(AND($V$8&lt;H5,$V$17=$E$6),$V$2*3,0),$B$36-SUM($F$6:G6)),0))</f>
        <v/>
      </c>
      <c r="I6" s="165" t="str">
        <f>IF(ISERROR(ROUND(MIN(IF(AND($V$21=$E$6,$V$13=I5),$V$4,0)+IF(ISERROR(IF(AND($V$17=$E$6,$V$8=I5),$V$2*P29,0)),0,IF(AND($V$17=$E$6,$V$8=I5),$V$2*P29,0))+IF(AND($V$8&lt;I5,$V$17=$E$6),$V$2*3,0),$B$36-SUM($F$6:H6)),0)),"",ROUND(MIN(IF(AND($V$21=$E$6,$V$13=I5),$V$4,0)+IF(ISERROR(IF(AND($V$17=$E$6,$V$8=I5),$V$2*P29,0)),0,IF(AND($V$17=$E$6,$V$8=I5),$V$2*P29,0))+IF(AND($V$8&lt;I5,$V$17=$E$6),$V$2*3,0),$B$36-SUM($F$6:H6)),0))</f>
        <v/>
      </c>
      <c r="J6" s="166">
        <f>SUM(F6:I6)</f>
        <v>0</v>
      </c>
      <c r="L6" s="19">
        <v>4</v>
      </c>
      <c r="M6" s="20">
        <v>2</v>
      </c>
      <c r="N6" s="20">
        <v>4</v>
      </c>
      <c r="O6" s="21">
        <v>3</v>
      </c>
      <c r="R6" s="22">
        <v>4</v>
      </c>
      <c r="S6" s="23" t="e">
        <f t="shared" si="0"/>
        <v>#VALUE!</v>
      </c>
      <c r="U6" s="1" t="s">
        <v>31</v>
      </c>
    </row>
    <row r="7" spans="1:22" ht="15" customHeight="1" x14ac:dyDescent="0.3">
      <c r="A7" s="135"/>
      <c r="B7" s="136"/>
      <c r="C7" s="137"/>
      <c r="E7" s="167" t="str">
        <f>IF(ISERROR(IF(AND(F7="",F7=0,G7="",G7=0,H7="",H7=0,I7="",I7=0),"",IF($V$17=$V$21,E6+1,IF($V$21&gt;$V$17,$V$17+1,$V$17)))),"",IF(AND(F7="",F7=0,G7="",G7=0,H7="",H7=0,I7="",I7=0),"",IF($V$17=$V$21,E6+1,IF($V$21&gt;$V$17,$V$17+1,$V$17))))</f>
        <v/>
      </c>
      <c r="F7" s="168" t="str">
        <f>IF(ISERROR(IF(ROUND(MIN(IF($V$17&lt;&gt;$E$6,IF($V$8=F5,$V$2*M29,0),$V$2*3),$B$36-SUM($J$6:$J6)),0)&lt;0,0,ROUND(MIN(IF($V$17&lt;&gt;$E$6,IF($V$8=F5,$V$2*M29,0),$V$2*3),$B$36-SUM($J$6:$J6)),0))),"",IF(ROUND(MIN(IF($V$17&lt;&gt;$E$6,IF($V$8=F5,$V$2*M29,0),$V$2*3),$B$36-SUM($J$6:$J6)),0)&lt;0,0,ROUND(MIN(IF($V$17&lt;&gt;$E$6,IF($V$8=F5,$V$2*M29,0),$V$2*3),$B$36-SUM($J$6:$J6)),0)))</f>
        <v/>
      </c>
      <c r="G7" s="168" t="str">
        <f>IF(ISERROR(IF(ROUND(MIN(IF($V$17&lt;&gt;$E$6,IF($V$8=F5,$V$2*M29,0),$V$2*3),$B$36-SUM($J$6:$J6)),0)&lt;0,0,ROUND(MIN(IF($V$17&lt;&gt;$E$6,IF($V$8=G5,$V$2*N29,0)+IF($V$8&lt;G5,$V$2*3,0),$V$2*3),$B$36-SUM($J$6:$J6)-SUM($F$7:F7)),0))),"",IF(ROUND(MIN(IF($V$17&lt;&gt;$E$6,IF($V$8=F5,$V$2*M29,0),$V$2*3),$B$36-SUM($J$6:$J6)),0)&lt;0,0,ROUND(MIN(IF($V$17&lt;&gt;$E$6,IF($V$8=G5,$V$2*N29,0)+IF($V$8&lt;G5,$V$2*3,0),$V$2*3),$B$36-SUM($J$6:$J6)-SUM($F$7:F7)),0)))</f>
        <v/>
      </c>
      <c r="H7" s="168" t="str">
        <f>IF(ISERROR(IF(ROUND(MIN(IF($V$17&lt;&gt;$E$6,IF($V$8=F5,$V$2*M29,0),$V$2*3),$B$36-SUM($J$6:$J6)),0)&lt;0,0,ROUND(MIN(IF($V$17&lt;&gt;$E$6,IF($V$8=H5,$V$2*O29,0)+IF($V$8&lt;H5,$V$2*3,0),$V$2*3),$B$36-SUM($J$6:$J6)-SUM($F$7:G7)),0))),"",IF(ROUND(MIN(IF($V$17&lt;&gt;$E$6,IF($V$8=F5,$V$2*M29,0),$V$2*3),$B$36-SUM($J$6:$J6)),0)&lt;0,0,ROUND(MIN(IF($V$17&lt;&gt;$E$6,IF($V$8=H5,$V$2*O29,0)+IF($V$8&lt;H5,$V$2*3,0),$V$2*3),$B$36-SUM($J$6:$J6)-SUM($F$7:G7)),0)))</f>
        <v/>
      </c>
      <c r="I7" s="168" t="str">
        <f>IF(ISERROR(IF(ROUND(MIN(IF($V$17&lt;&gt;$E$6,IF($V$8=F5,$V$2*M29,0),$V$2*3),$B$36-SUM($J$6:$J6)),0)&lt;0,0,ROUND(MIN(IF($V$17&lt;&gt;$E$6,IF($V$8=I5,$V$2*P29,0)+IF($V$8&lt;I5,$V$2*3,0),$V$2*3),$B$36-SUM($J$6:$J6)-SUM($F$7:H7)),0))),"",IF(ROUND(MIN(IF($V$17&lt;&gt;$E$6,IF($V$8=F5,$V$2*M29,0),$V$2*3),$B$36-SUM($J$6:$J6)),0)&lt;0,0,ROUND(MIN(IF($V$17&lt;&gt;$E$6,IF($V$8=I5,$V$2*P29,0)+IF($V$8&lt;I5,$V$2*3,0),$V$2*3),$B$36-SUM($J$6:$J6)-SUM($F$7:H7)),0)))</f>
        <v/>
      </c>
      <c r="J7" s="169" t="str">
        <f t="shared" ref="J7:J33" si="1">IF(E7="","",SUM(F7:I7))</f>
        <v/>
      </c>
      <c r="L7" s="19">
        <v>5</v>
      </c>
      <c r="M7" s="20">
        <v>2</v>
      </c>
      <c r="N7" s="20">
        <v>5</v>
      </c>
      <c r="O7" s="21">
        <v>2</v>
      </c>
      <c r="R7" s="22">
        <v>5</v>
      </c>
      <c r="S7" s="23" t="e">
        <f t="shared" si="0"/>
        <v>#VALUE!</v>
      </c>
      <c r="U7" s="17" t="s">
        <v>3</v>
      </c>
      <c r="V7" s="28">
        <f>(YEAR($B$19)-YEAR(DATE(YEAR($B$19)-1,MONTH($B$13),DAY($B$13))))*12+MONTH($B$19)-MONTH(DATE(YEAR($B$19)-1,MONTH($B$13),DAY($B$13)))</f>
        <v>-22787</v>
      </c>
    </row>
    <row r="8" spans="1:22" ht="15" customHeight="1" x14ac:dyDescent="0.3">
      <c r="A8" s="135"/>
      <c r="B8" s="136"/>
      <c r="C8" s="137"/>
      <c r="E8" s="167" t="str">
        <f t="shared" ref="E8:E33" si="2">IF(OR(F8="",F8=0),"",E7+1)</f>
        <v/>
      </c>
      <c r="F8" s="168" t="str">
        <f>IF(OR(I7="",I7=0),"",IF(ROUND(MIN($V$2*3,$B$36-SUM($J$6:$J7)),0)&lt;0,0,ROUND(MIN($V$2*3,$B$36-SUM($J$6:$J7)),0)))</f>
        <v/>
      </c>
      <c r="G8" s="168" t="str">
        <f>IF(OR(F8="",F8=0),"",IF(ROUND(MIN($V$2*3,$B$36-SUM($J$6:$J7)-SUM($F8:F8)),0)&lt;0,0,ROUND(MIN($V$2*3,$B$36-SUM($J$6:$J7)-SUM($F8:F8)),0)))</f>
        <v/>
      </c>
      <c r="H8" s="168" t="str">
        <f>IF(OR(G8="",G8=0),"",IF(ROUND(MIN($V$2*3,$B$36-SUM($J$6:$J7)-SUM($F8:G8)),0)&lt;0,0,ROUND(MIN($V$2*3,$B$36-SUM($J$6:$J7)-SUM($F8:G8)),0)))</f>
        <v/>
      </c>
      <c r="I8" s="168" t="str">
        <f>IF(OR(H8="",H8=0),"",IF(ROUND(MIN($V$2*3,$B$36-SUM($J$6:$J7)-SUM($F8:H8)),0)&lt;0,0,ROUND(MIN($V$2*3,$B$36-SUM($J$6:$J7)-SUM($F8:H8)),0)))</f>
        <v/>
      </c>
      <c r="J8" s="169" t="str">
        <f t="shared" si="1"/>
        <v/>
      </c>
      <c r="L8" s="19">
        <v>6</v>
      </c>
      <c r="M8" s="20">
        <v>2</v>
      </c>
      <c r="N8" s="20">
        <v>6</v>
      </c>
      <c r="O8" s="21">
        <v>1</v>
      </c>
      <c r="R8" s="22">
        <v>6</v>
      </c>
      <c r="S8" s="23" t="e">
        <f t="shared" si="0"/>
        <v>#VALUE!</v>
      </c>
      <c r="U8" s="24" t="s">
        <v>2</v>
      </c>
      <c r="V8" s="23" t="e">
        <f>LOOKUP(V7,$L$3:$L$26,$M$3:$M$26)</f>
        <v>#N/A</v>
      </c>
    </row>
    <row r="9" spans="1:22" ht="15" customHeight="1" thickBot="1" x14ac:dyDescent="0.35">
      <c r="A9" s="138"/>
      <c r="B9" s="139"/>
      <c r="C9" s="140"/>
      <c r="E9" s="167" t="str">
        <f t="shared" si="2"/>
        <v/>
      </c>
      <c r="F9" s="168" t="str">
        <f>IF(OR(I8="",I8=0),"",IF(ROUND(MIN($V$2*3,$B$36-SUM($J$6:$J8)),0)&lt;0,0,ROUND(MIN($V$2*3,$B$36-SUM($J$6:$J8)),0)))</f>
        <v/>
      </c>
      <c r="G9" s="168" t="str">
        <f>IF(OR(F9="",F9=0),"",IF(ROUND(MIN($V$2*3,$B$36-SUM($J$6:$J8)-SUM($F9:F9)),0)&lt;0,0,ROUND(MIN($V$2*3,$B$36-SUM($J$6:$J8)-SUM($F9:F9)),0)))</f>
        <v/>
      </c>
      <c r="H9" s="168" t="str">
        <f>IF(OR(G9="",G9=0),"",IF(ROUND(MIN($V$2*3,$B$36-SUM($J$6:$J8)-SUM($F9:G9)),0)&lt;0,0,ROUND(MIN($V$2*3,$B$36-SUM($J$6:$J8)-SUM($F9:G9)),0)))</f>
        <v/>
      </c>
      <c r="I9" s="168" t="str">
        <f>IF(OR(H9="",H9=0),"",IF(ROUND(MIN($V$2*3,$B$36-SUM($J$6:$J8)-SUM($F9:H9)),0)&lt;0,0,ROUND(MIN($V$2*3,$B$36-SUM($J$6:$J8)-SUM($F9:H9)),0)))</f>
        <v/>
      </c>
      <c r="J9" s="169" t="str">
        <f t="shared" si="1"/>
        <v/>
      </c>
      <c r="L9" s="19">
        <v>7</v>
      </c>
      <c r="M9" s="20">
        <v>3</v>
      </c>
      <c r="N9" s="20">
        <v>7</v>
      </c>
      <c r="O9" s="21">
        <v>3</v>
      </c>
      <c r="P9" s="29"/>
      <c r="Q9" s="29"/>
      <c r="R9" s="22">
        <v>7</v>
      </c>
      <c r="S9" s="23" t="e">
        <f t="shared" si="0"/>
        <v>#VALUE!</v>
      </c>
      <c r="U9" s="30" t="s">
        <v>9</v>
      </c>
      <c r="V9" s="31">
        <f>DATE(YEAR($B$43),MONTH($B$13),DAY($B$13))</f>
        <v>0</v>
      </c>
    </row>
    <row r="10" spans="1:22" ht="12.75" customHeight="1" thickBot="1" x14ac:dyDescent="0.35">
      <c r="A10" s="65" t="s">
        <v>62</v>
      </c>
      <c r="B10" s="66"/>
      <c r="C10" s="67"/>
      <c r="E10" s="167" t="str">
        <f t="shared" si="2"/>
        <v/>
      </c>
      <c r="F10" s="168" t="str">
        <f>IF(OR(I9="",I9=0),"",IF(ROUND(MIN($V$2*3,$B$36-SUM($J$6:$J9)),0)&lt;0,0,ROUND(MIN($V$2*3,$B$36-SUM($J$6:$J9)),0)))</f>
        <v/>
      </c>
      <c r="G10" s="168" t="str">
        <f>IF(OR(F10="",F10=0),"",IF(ROUND(MIN($V$2*3,$B$36-SUM($J$6:$J9)-SUM($F10:F10)),0)&lt;0,0,ROUND(MIN($V$2*3,$B$36-SUM($J$6:$J9)-SUM($F10:F10)),0)))</f>
        <v/>
      </c>
      <c r="H10" s="168" t="str">
        <f>IF(OR(G10="",G10=0),"",IF(ROUND(MIN($V$2*3,$B$36-SUM($J$6:$J9)-SUM($F10:G10)),0)&lt;0,0,ROUND(MIN($V$2*3,$B$36-SUM($J$6:$J9)-SUM($F10:G10)),0)))</f>
        <v/>
      </c>
      <c r="I10" s="168" t="str">
        <f>IF(OR(H10="",H10=0),"",IF(ROUND(MIN($V$2*3,$B$36-SUM($J$6:$J9)-SUM($F10:H10)),0)&lt;0,0,ROUND(MIN($V$2*3,$B$36-SUM($J$6:$J9)-SUM($F10:H10)),0)))</f>
        <v/>
      </c>
      <c r="J10" s="169" t="str">
        <f t="shared" si="1"/>
        <v/>
      </c>
      <c r="L10" s="19">
        <v>8</v>
      </c>
      <c r="M10" s="20">
        <v>3</v>
      </c>
      <c r="N10" s="20">
        <v>8</v>
      </c>
      <c r="O10" s="21">
        <v>2</v>
      </c>
      <c r="R10" s="22">
        <v>8</v>
      </c>
      <c r="S10" s="23" t="e">
        <f t="shared" si="0"/>
        <v>#VALUE!</v>
      </c>
      <c r="U10" s="32"/>
    </row>
    <row r="11" spans="1:22" ht="12.75" customHeight="1" thickBot="1" x14ac:dyDescent="0.3">
      <c r="A11" s="68" t="s">
        <v>12</v>
      </c>
      <c r="B11" s="3">
        <f>'IA IPRs 1'!B11</f>
        <v>0</v>
      </c>
      <c r="C11" s="69"/>
      <c r="E11" s="167" t="str">
        <f t="shared" si="2"/>
        <v/>
      </c>
      <c r="F11" s="168" t="str">
        <f>IF(OR(I10="",I10=0),"",IF(ROUND(MIN($V$2*3,$B$36-SUM($J$6:$J10)),0)&lt;0,0,ROUND(MIN($V$2*3,$B$36-SUM($J$6:$J10)),0)))</f>
        <v/>
      </c>
      <c r="G11" s="168" t="str">
        <f>IF(OR(F11="",F11=0),"",IF(ROUND(MIN($V$2*3,$B$36-SUM($J$6:$J10)-SUM($F11:F11)),0)&lt;0,0,ROUND(MIN($V$2*3,$B$36-SUM($J$6:$J10)-SUM($F11:F11)),0)))</f>
        <v/>
      </c>
      <c r="H11" s="168" t="str">
        <f>IF(OR(G11="",G11=0),"",IF(ROUND(MIN($V$2*3,$B$36-SUM($J$6:$J10)-SUM($F11:G11)),0)&lt;0,0,ROUND(MIN($V$2*3,$B$36-SUM($J$6:$J10)-SUM($F11:G11)),0)))</f>
        <v/>
      </c>
      <c r="I11" s="168" t="str">
        <f>IF(OR(H11="",H11=0),"",IF(ROUND(MIN($V$2*3,$B$36-SUM($J$6:$J10)-SUM($F11:H11)),0)&lt;0,0,ROUND(MIN($V$2*3,$B$36-SUM($J$6:$J10)-SUM($F11:H11)),0)))</f>
        <v/>
      </c>
      <c r="J11" s="169" t="str">
        <f t="shared" si="1"/>
        <v/>
      </c>
      <c r="L11" s="19">
        <v>9</v>
      </c>
      <c r="M11" s="20">
        <v>3</v>
      </c>
      <c r="N11" s="20">
        <v>9</v>
      </c>
      <c r="O11" s="21">
        <v>1</v>
      </c>
      <c r="R11" s="22">
        <v>9</v>
      </c>
      <c r="S11" s="23" t="e">
        <f t="shared" si="0"/>
        <v>#VALUE!</v>
      </c>
      <c r="U11" s="1" t="s">
        <v>30</v>
      </c>
    </row>
    <row r="12" spans="1:22" ht="12.75" customHeight="1" x14ac:dyDescent="0.3">
      <c r="A12" s="68" t="s">
        <v>13</v>
      </c>
      <c r="B12" s="3">
        <f>'IA IPRs 1'!B12</f>
        <v>0</v>
      </c>
      <c r="C12" s="69"/>
      <c r="E12" s="167" t="str">
        <f t="shared" si="2"/>
        <v/>
      </c>
      <c r="F12" s="168" t="str">
        <f>IF(OR(I11="",I11=0),"",IF(ROUND(MIN($V$2*3,$B$36-SUM($J$6:$J11)),0)&lt;0,0,ROUND(MIN($V$2*3,$B$36-SUM($J$6:$J11)),0)))</f>
        <v/>
      </c>
      <c r="G12" s="168" t="str">
        <f>IF(OR(F12="",F12=0),"",IF(ROUND(MIN($V$2*3,$B$36-SUM($J$6:$J11)-SUM($F12:F12)),0)&lt;0,0,ROUND(MIN($V$2*3,$B$36-SUM($J$6:$J11)-SUM($F12:F12)),0)))</f>
        <v/>
      </c>
      <c r="H12" s="168" t="str">
        <f>IF(OR(G12="",G12=0),"",IF(ROUND(MIN($V$2*3,$B$36-SUM($J$6:$J11)-SUM($F12:G12)),0)&lt;0,0,ROUND(MIN($V$2*3,$B$36-SUM($J$6:$J11)-SUM($F12:G12)),0)))</f>
        <v/>
      </c>
      <c r="I12" s="168" t="str">
        <f>IF(OR(H12="",H12=0),"",IF(ROUND(MIN($V$2*3,$B$36-SUM($J$6:$J11)-SUM($F12:H12)),0)&lt;0,0,ROUND(MIN($V$2*3,$B$36-SUM($J$6:$J11)-SUM($F12:H12)),0)))</f>
        <v/>
      </c>
      <c r="J12" s="169" t="str">
        <f t="shared" si="1"/>
        <v/>
      </c>
      <c r="L12" s="19">
        <v>10</v>
      </c>
      <c r="M12" s="20">
        <v>4</v>
      </c>
      <c r="N12" s="20">
        <v>10</v>
      </c>
      <c r="O12" s="21">
        <v>3</v>
      </c>
      <c r="P12" s="29"/>
      <c r="Q12" s="29"/>
      <c r="R12" s="22">
        <v>10</v>
      </c>
      <c r="S12" s="23" t="e">
        <f t="shared" si="0"/>
        <v>#VALUE!</v>
      </c>
      <c r="U12" s="17" t="s">
        <v>3</v>
      </c>
      <c r="V12" s="28">
        <f>(YEAR($B$18)-YEAR(DATE(YEAR($B$18)-1,MONTH($B$13),DAY($B$13))))*12+MONTH($B$18)-MONTH(DATE(YEAR($B$18)-1,MONTH($B$13),DAY($B$13)))</f>
        <v>-22787</v>
      </c>
    </row>
    <row r="13" spans="1:22" ht="12.75" customHeight="1" x14ac:dyDescent="0.3">
      <c r="A13" s="68" t="s">
        <v>14</v>
      </c>
      <c r="B13" s="15">
        <f>'IA IPRs 1'!B13</f>
        <v>0</v>
      </c>
      <c r="C13" s="69"/>
      <c r="E13" s="167" t="str">
        <f t="shared" si="2"/>
        <v/>
      </c>
      <c r="F13" s="168" t="str">
        <f>IF(OR(I12="",I12=0),"",IF(ROUND(MIN($V$2*3,$B$36-SUM($J$6:$J12)),0)&lt;0,0,ROUND(MIN($V$2*3,$B$36-SUM($J$6:$J12)),0)))</f>
        <v/>
      </c>
      <c r="G13" s="168" t="str">
        <f>IF(OR(F13="",F13=0),"",IF(ROUND(MIN($V$2*3,$B$36-SUM($J$6:$J12)-SUM($F13:F13)),0)&lt;0,0,ROUND(MIN($V$2*3,$B$36-SUM($J$6:$J12)-SUM($F13:F13)),0)))</f>
        <v/>
      </c>
      <c r="H13" s="168" t="str">
        <f>IF(OR(G13="",G13=0),"",IF(ROUND(MIN($V$2*3,$B$36-SUM($J$6:$J12)-SUM($F13:G13)),0)&lt;0,0,ROUND(MIN($V$2*3,$B$36-SUM($J$6:$J12)-SUM($F13:G13)),0)))</f>
        <v/>
      </c>
      <c r="I13" s="168" t="str">
        <f>IF(OR(H13="",H13=0),"",IF(ROUND(MIN($V$2*3,$B$36-SUM($J$6:$J12)-SUM($F13:H13)),0)&lt;0,0,ROUND(MIN($V$2*3,$B$36-SUM($J$6:$J12)-SUM($F13:H13)),0)))</f>
        <v/>
      </c>
      <c r="J13" s="169" t="str">
        <f t="shared" si="1"/>
        <v/>
      </c>
      <c r="L13" s="19">
        <v>11</v>
      </c>
      <c r="M13" s="20">
        <v>4</v>
      </c>
      <c r="N13" s="20">
        <v>11</v>
      </c>
      <c r="O13" s="21">
        <v>2</v>
      </c>
      <c r="P13" s="29"/>
      <c r="Q13" s="29"/>
      <c r="R13" s="22">
        <v>11</v>
      </c>
      <c r="S13" s="23" t="e">
        <f t="shared" si="0"/>
        <v>#VALUE!</v>
      </c>
      <c r="U13" s="24" t="s">
        <v>2</v>
      </c>
      <c r="V13" s="23" t="e">
        <f>LOOKUP(V12,$L$3:$L$26,$M$3:$M$26)</f>
        <v>#N/A</v>
      </c>
    </row>
    <row r="14" spans="1:22" ht="12.75" customHeight="1" thickBot="1" x14ac:dyDescent="0.35">
      <c r="A14" s="68" t="s">
        <v>28</v>
      </c>
      <c r="B14" s="3">
        <f>'IA IPRs 1'!B14</f>
        <v>0</v>
      </c>
      <c r="C14" s="69"/>
      <c r="E14" s="167" t="str">
        <f t="shared" si="2"/>
        <v/>
      </c>
      <c r="F14" s="168" t="str">
        <f>IF(OR(I13="",I13=0),"",IF(ROUND(MIN($V$2*3,$B$36-SUM($J$6:$J13)),0)&lt;0,0,ROUND(MIN($V$2*3,$B$36-SUM($J$6:$J13)),0)))</f>
        <v/>
      </c>
      <c r="G14" s="168" t="str">
        <f>IF(OR(F14="",F14=0),"",IF(ROUND(MIN($V$2*3,$B$36-SUM($J$6:$J13)-SUM($F14:F14)),0)&lt;0,0,ROUND(MIN($V$2*3,$B$36-SUM($J$6:$J13)-SUM($F14:F14)),0)))</f>
        <v/>
      </c>
      <c r="H14" s="168" t="str">
        <f>IF(OR(G14="",G14=0),"",IF(ROUND(MIN($V$2*3,$B$36-SUM($J$6:$J13)-SUM($F14:G14)),0)&lt;0,0,ROUND(MIN($V$2*3,$B$36-SUM($J$6:$J13)-SUM($F14:G14)),0)))</f>
        <v/>
      </c>
      <c r="I14" s="168" t="str">
        <f>IF(OR(H14="",H14=0),"",IF(ROUND(MIN($V$2*3,$B$36-SUM($J$6:$J13)-SUM($F14:H14)),0)&lt;0,0,ROUND(MIN($V$2*3,$B$36-SUM($J$6:$J13)-SUM($F14:H14)),0)))</f>
        <v/>
      </c>
      <c r="J14" s="169" t="str">
        <f t="shared" si="1"/>
        <v/>
      </c>
      <c r="L14" s="19">
        <v>12</v>
      </c>
      <c r="M14" s="20">
        <v>4</v>
      </c>
      <c r="N14" s="20">
        <v>12</v>
      </c>
      <c r="O14" s="21">
        <v>1</v>
      </c>
      <c r="R14" s="22">
        <v>12</v>
      </c>
      <c r="S14" s="23" t="e">
        <f t="shared" si="0"/>
        <v>#VALUE!</v>
      </c>
      <c r="U14" s="30" t="s">
        <v>9</v>
      </c>
      <c r="V14" s="31">
        <f>DATE(YEAR($B$43),MONTH($B$13),DAY($B$13))</f>
        <v>0</v>
      </c>
    </row>
    <row r="15" spans="1:22" ht="12.75" customHeight="1" thickBot="1" x14ac:dyDescent="0.3">
      <c r="A15" s="68"/>
      <c r="B15" s="70"/>
      <c r="C15" s="69"/>
      <c r="E15" s="167" t="str">
        <f t="shared" si="2"/>
        <v/>
      </c>
      <c r="F15" s="168" t="str">
        <f>IF(OR(I14="",I14=0),"",IF(ROUND(MIN($V$2*3,$B$36-SUM($J$6:$J14)),0)&lt;0,0,ROUND(MIN($V$2*3,$B$36-SUM($J$6:$J14)),0)))</f>
        <v/>
      </c>
      <c r="G15" s="168" t="str">
        <f>IF(OR(F15="",F15=0),"",IF(ROUND(MIN($V$2*3,$B$36-SUM($J$6:$J14)-SUM($F15:F15)),0)&lt;0,0,ROUND(MIN($V$2*3,$B$36-SUM($J$6:$J14)-SUM($F15:F15)),0)))</f>
        <v/>
      </c>
      <c r="H15" s="168" t="str">
        <f>IF(OR(G15="",G15=0),"",IF(ROUND(MIN($V$2*3,$B$36-SUM($J$6:$J14)-SUM($F15:G15)),0)&lt;0,0,ROUND(MIN($V$2*3,$B$36-SUM($J$6:$J14)-SUM($F15:G15)),0)))</f>
        <v/>
      </c>
      <c r="I15" s="168" t="str">
        <f>IF(OR(H15="",H15=0),"",IF(ROUND(MIN($V$2*3,$B$36-SUM($J$6:$J14)-SUM($F15:H15)),0)&lt;0,0,ROUND(MIN($V$2*3,$B$36-SUM($J$6:$J14)-SUM($F15:H15)),0)))</f>
        <v/>
      </c>
      <c r="J15" s="169" t="str">
        <f t="shared" si="1"/>
        <v/>
      </c>
      <c r="L15" s="19">
        <v>13</v>
      </c>
      <c r="M15" s="20">
        <v>1</v>
      </c>
      <c r="N15" s="20">
        <v>13</v>
      </c>
      <c r="O15" s="21">
        <v>3</v>
      </c>
      <c r="R15" s="22">
        <v>13</v>
      </c>
      <c r="S15" s="23" t="e">
        <f t="shared" si="0"/>
        <v>#VALUE!</v>
      </c>
    </row>
    <row r="16" spans="1:22" ht="13.5" thickBot="1" x14ac:dyDescent="0.3">
      <c r="A16" s="65" t="s">
        <v>70</v>
      </c>
      <c r="B16" s="71"/>
      <c r="C16" s="67"/>
      <c r="E16" s="167" t="str">
        <f t="shared" si="2"/>
        <v/>
      </c>
      <c r="F16" s="168" t="str">
        <f>IF(OR(I15="",I15=0),"",IF(ROUND(MIN($V$2*3,$B$36-SUM($J$6:$J15)),0)&lt;0,0,ROUND(MIN($V$2*3,$B$36-SUM($J$6:$J15)),0)))</f>
        <v/>
      </c>
      <c r="G16" s="168" t="str">
        <f>IF(OR(F16="",F16=0),"",IF(ROUND(MIN($V$2*3,$B$36-SUM($J$6:$J15)-SUM($F16:F16)),0)&lt;0,0,ROUND(MIN($V$2*3,$B$36-SUM($J$6:$J15)-SUM($F16:F16)),0)))</f>
        <v/>
      </c>
      <c r="H16" s="168" t="str">
        <f>IF(OR(G16="",G16=0),"",IF(ROUND(MIN($V$2*3,$B$36-SUM($J$6:$J15)-SUM($F16:G16)),0)&lt;0,0,ROUND(MIN($V$2*3,$B$36-SUM($J$6:$J15)-SUM($F16:G16)),0)))</f>
        <v/>
      </c>
      <c r="I16" s="168" t="str">
        <f>IF(OR(H16="",H16=0),"",IF(ROUND(MIN($V$2*3,$B$36-SUM($J$6:$J15)-SUM($F16:H16)),0)&lt;0,0,ROUND(MIN($V$2*3,$B$36-SUM($J$6:$J15)-SUM($F16:H16)),0)))</f>
        <v/>
      </c>
      <c r="J16" s="169" t="str">
        <f t="shared" si="1"/>
        <v/>
      </c>
      <c r="L16" s="19">
        <v>14</v>
      </c>
      <c r="M16" s="20">
        <v>1</v>
      </c>
      <c r="N16" s="20">
        <v>14</v>
      </c>
      <c r="O16" s="21">
        <v>2</v>
      </c>
      <c r="R16" s="22">
        <v>14</v>
      </c>
      <c r="S16" s="23" t="e">
        <f t="shared" si="0"/>
        <v>#VALUE!</v>
      </c>
      <c r="U16" s="1" t="s">
        <v>31</v>
      </c>
    </row>
    <row r="17" spans="1:34" ht="12" customHeight="1" x14ac:dyDescent="0.3">
      <c r="A17" s="87" t="s">
        <v>67</v>
      </c>
      <c r="B17" s="16"/>
      <c r="C17" s="88"/>
      <c r="E17" s="167" t="str">
        <f t="shared" si="2"/>
        <v/>
      </c>
      <c r="F17" s="168" t="str">
        <f>IF(OR(I16="",I16=0),"",IF(ROUND(MIN($V$2*3,$B$36-SUM($J$6:$J16)),0)&lt;0,0,ROUND(MIN($V$2*3,$B$36-SUM($J$6:$J16)),0)))</f>
        <v/>
      </c>
      <c r="G17" s="168" t="str">
        <f>IF(OR(F17="",F17=0),"",IF(ROUND(MIN($V$2*3,$B$36-SUM($J$6:$J16)-SUM($F17:F17)),0)&lt;0,0,ROUND(MIN($V$2*3,$B$36-SUM($J$6:$J16)-SUM($F17:F17)),0)))</f>
        <v/>
      </c>
      <c r="H17" s="168" t="str">
        <f>IF(OR(G17="",G17=0),"",IF(ROUND(MIN($V$2*3,$B$36-SUM($J$6:$J16)-SUM($F17:G17)),0)&lt;0,0,ROUND(MIN($V$2*3,$B$36-SUM($J$6:$J16)-SUM($F17:G17)),0)))</f>
        <v/>
      </c>
      <c r="I17" s="168" t="str">
        <f>IF(OR(H17="",H17=0),"",IF(ROUND(MIN($V$2*3,$B$36-SUM($J$6:$J16)-SUM($F17:H17)),0)&lt;0,0,ROUND(MIN($V$2*3,$B$36-SUM($J$6:$J16)-SUM($F17:H17)),0)))</f>
        <v/>
      </c>
      <c r="J17" s="169" t="str">
        <f t="shared" si="1"/>
        <v/>
      </c>
      <c r="L17" s="19">
        <v>15</v>
      </c>
      <c r="M17" s="20">
        <v>1</v>
      </c>
      <c r="N17" s="20">
        <v>15</v>
      </c>
      <c r="O17" s="21">
        <v>1</v>
      </c>
      <c r="R17" s="22">
        <v>15</v>
      </c>
      <c r="S17" s="23" t="e">
        <f t="shared" si="0"/>
        <v>#VALUE!</v>
      </c>
      <c r="U17" s="33" t="s">
        <v>0</v>
      </c>
      <c r="V17" s="34">
        <f>IF(ISERROR(IF(B19&gt;V18,YEAR(V18)+2,YEAR(V18)+1)),"Please enter the correct relevant period",IF(B19&gt;V18,YEAR(V18)+2,YEAR(V18)+1))</f>
        <v>1901</v>
      </c>
    </row>
    <row r="18" spans="1:34" ht="12" customHeight="1" thickBot="1" x14ac:dyDescent="0.35">
      <c r="A18" s="72" t="s">
        <v>71</v>
      </c>
      <c r="B18" s="14"/>
      <c r="C18" s="69"/>
      <c r="E18" s="167" t="str">
        <f t="shared" si="2"/>
        <v/>
      </c>
      <c r="F18" s="168" t="str">
        <f>IF(OR(I17="",I17=0),"",IF(ROUND(MIN($V$2*3,$B$36-SUM($J$6:$J17)),0)&lt;0,0,ROUND(MIN($V$2*3,$B$36-SUM($J$6:$J17)),0)))</f>
        <v/>
      </c>
      <c r="G18" s="168" t="str">
        <f>IF(OR(F18="",F18=0),"",IF(ROUND(MIN($V$2*3,$B$36-SUM($J$6:$J17)-SUM($F18:F18)),0)&lt;0,0,ROUND(MIN($V$2*3,$B$36-SUM($J$6:$J17)-SUM($F18:F18)),0)))</f>
        <v/>
      </c>
      <c r="H18" s="168" t="str">
        <f>IF(OR(G18="",G18=0),"",IF(ROUND(MIN($V$2*3,$B$36-SUM($J$6:$J17)-SUM($F18:G18)),0)&lt;0,0,ROUND(MIN($V$2*3,$B$36-SUM($J$6:$J17)-SUM($F18:G18)),0)))</f>
        <v/>
      </c>
      <c r="I18" s="168" t="str">
        <f>IF(OR(H18="",H18=0),"",IF(ROUND(MIN($V$2*3,$B$36-SUM($J$6:$J17)-SUM($F18:H18)),0)&lt;0,0,ROUND(MIN($V$2*3,$B$36-SUM($J$6:$J17)-SUM($F18:H18)),0)))</f>
        <v/>
      </c>
      <c r="J18" s="169" t="str">
        <f t="shared" si="1"/>
        <v/>
      </c>
      <c r="L18" s="19">
        <v>16</v>
      </c>
      <c r="M18" s="20">
        <v>2</v>
      </c>
      <c r="N18" s="20">
        <v>16</v>
      </c>
      <c r="O18" s="21">
        <v>3</v>
      </c>
      <c r="R18" s="22">
        <v>16</v>
      </c>
      <c r="S18" s="23" t="e">
        <f t="shared" si="0"/>
        <v>#VALUE!</v>
      </c>
      <c r="U18" s="30" t="s">
        <v>9</v>
      </c>
      <c r="V18" s="31">
        <f>DATE(YEAR($B$19),MONTH($B$13),DAY($B$13))</f>
        <v>0</v>
      </c>
    </row>
    <row r="19" spans="1:34" ht="12" customHeight="1" x14ac:dyDescent="0.25">
      <c r="A19" s="68" t="s">
        <v>63</v>
      </c>
      <c r="B19" s="14"/>
      <c r="C19" s="69"/>
      <c r="E19" s="167" t="str">
        <f t="shared" si="2"/>
        <v/>
      </c>
      <c r="F19" s="168" t="str">
        <f>IF(OR(I18="",I18=0),"",IF(ROUND(MIN($V$2*3,$B$36-SUM($J$6:$J18)),0)&lt;0,0,ROUND(MIN($V$2*3,$B$36-SUM($J$6:$J18)),0)))</f>
        <v/>
      </c>
      <c r="G19" s="168" t="str">
        <f>IF(OR(F19="",F19=0),"",IF(ROUND(MIN($V$2*3,$B$36-SUM($J$6:$J18)-SUM($F19:F19)),0)&lt;0,0,ROUND(MIN($V$2*3,$B$36-SUM($J$6:$J18)-SUM($F19:F19)),0)))</f>
        <v/>
      </c>
      <c r="H19" s="168" t="str">
        <f>IF(OR(G19="",G19=0),"",IF(ROUND(MIN($V$2*3,$B$36-SUM($J$6:$J18)-SUM($F19:G19)),0)&lt;0,0,ROUND(MIN($V$2*3,$B$36-SUM($J$6:$J18)-SUM($F19:G19)),0)))</f>
        <v/>
      </c>
      <c r="I19" s="168" t="str">
        <f>IF(OR(H19="",H19=0),"",IF(ROUND(MIN($V$2*3,$B$36-SUM($J$6:$J18)-SUM($F19:H19)),0)&lt;0,0,ROUND(MIN($V$2*3,$B$36-SUM($J$6:$J18)-SUM($F19:H19)),0)))</f>
        <v/>
      </c>
      <c r="J19" s="169" t="str">
        <f t="shared" si="1"/>
        <v/>
      </c>
      <c r="L19" s="19">
        <v>17</v>
      </c>
      <c r="M19" s="20">
        <v>2</v>
      </c>
      <c r="N19" s="20">
        <v>17</v>
      </c>
      <c r="O19" s="21">
        <v>2</v>
      </c>
      <c r="R19" s="22">
        <v>17</v>
      </c>
      <c r="S19" s="23" t="e">
        <f t="shared" si="0"/>
        <v>#VALUE!</v>
      </c>
    </row>
    <row r="20" spans="1:34" ht="12" customHeight="1" thickBot="1" x14ac:dyDescent="0.3">
      <c r="A20" s="68" t="s">
        <v>19</v>
      </c>
      <c r="B20" s="4"/>
      <c r="C20" s="69"/>
      <c r="E20" s="167" t="str">
        <f t="shared" si="2"/>
        <v/>
      </c>
      <c r="F20" s="168" t="str">
        <f>IF(OR(I19="",I19=0),"",IF(ROUND(MIN($V$2*3,$B$36-SUM($J$6:$J19)),0)&lt;0,0,ROUND(MIN($V$2*3,$B$36-SUM($J$6:$J19)),0)))</f>
        <v/>
      </c>
      <c r="G20" s="168" t="str">
        <f>IF(OR(F20="",F20=0),"",IF(ROUND(MIN($V$2*3,$B$36-SUM($J$6:$J19)-SUM($F20:F20)),0)&lt;0,0,ROUND(MIN($V$2*3,$B$36-SUM($J$6:$J19)-SUM($F20:F20)),0)))</f>
        <v/>
      </c>
      <c r="H20" s="168" t="str">
        <f>IF(OR(G20="",G20=0),"",IF(ROUND(MIN($V$2*3,$B$36-SUM($J$6:$J19)-SUM($F20:G20)),0)&lt;0,0,ROUND(MIN($V$2*3,$B$36-SUM($J$6:$J19)-SUM($F20:G20)),0)))</f>
        <v/>
      </c>
      <c r="I20" s="168" t="str">
        <f>IF(OR(H20="",H20=0),"",IF(ROUND(MIN($V$2*3,$B$36-SUM($J$6:$J19)-SUM($F20:H20)),0)&lt;0,0,ROUND(MIN($V$2*3,$B$36-SUM($J$6:$J19)-SUM($F20:H20)),0)))</f>
        <v/>
      </c>
      <c r="J20" s="169" t="str">
        <f t="shared" si="1"/>
        <v/>
      </c>
      <c r="L20" s="19">
        <v>18</v>
      </c>
      <c r="M20" s="20">
        <v>2</v>
      </c>
      <c r="N20" s="20">
        <v>18</v>
      </c>
      <c r="O20" s="21">
        <v>1</v>
      </c>
      <c r="R20" s="22">
        <v>18</v>
      </c>
      <c r="S20" s="23" t="e">
        <f t="shared" si="0"/>
        <v>#VALUE!</v>
      </c>
      <c r="U20" s="1" t="s">
        <v>32</v>
      </c>
    </row>
    <row r="21" spans="1:34" ht="12" customHeight="1" x14ac:dyDescent="0.3">
      <c r="A21" s="68" t="s">
        <v>22</v>
      </c>
      <c r="B21" s="5"/>
      <c r="C21" s="69"/>
      <c r="E21" s="167" t="str">
        <f t="shared" si="2"/>
        <v/>
      </c>
      <c r="F21" s="168" t="str">
        <f>IF(OR(I20="",I20=0),"",IF(ROUND(MIN($V$2*3,$B$36-SUM($J$6:$J20)),0)&lt;0,0,ROUND(MIN($V$2*3,$B$36-SUM($J$6:$J20)),0)))</f>
        <v/>
      </c>
      <c r="G21" s="168" t="str">
        <f>IF(OR(F21="",F21=0),"",IF(ROUND(MIN($V$2*3,$B$36-SUM($J$6:$J20)-SUM($F21:F21)),0)&lt;0,0,ROUND(MIN($V$2*3,$B$36-SUM($J$6:$J20)-SUM($F21:F21)),0)))</f>
        <v/>
      </c>
      <c r="H21" s="168" t="str">
        <f>IF(OR(G21="",G21=0),"",IF(ROUND(MIN($V$2*3,$B$36-SUM($J$6:$J20)-SUM($F21:G21)),0)&lt;0,0,ROUND(MIN($V$2*3,$B$36-SUM($J$6:$J20)-SUM($F21:G21)),0)))</f>
        <v/>
      </c>
      <c r="I21" s="168" t="str">
        <f>IF(OR(H21="",H21=0),"",IF(ROUND(MIN($V$2*3,$B$36-SUM($J$6:$J20)-SUM($F21:H21)),0)&lt;0,0,ROUND(MIN($V$2*3,$B$36-SUM($J$6:$J20)-SUM($F21:H21)),0)))</f>
        <v/>
      </c>
      <c r="J21" s="169" t="str">
        <f t="shared" si="1"/>
        <v/>
      </c>
      <c r="L21" s="19">
        <v>19</v>
      </c>
      <c r="M21" s="20">
        <v>3</v>
      </c>
      <c r="N21" s="20">
        <v>19</v>
      </c>
      <c r="O21" s="21">
        <v>3</v>
      </c>
      <c r="R21" s="22">
        <v>19</v>
      </c>
      <c r="S21" s="23" t="e">
        <f t="shared" si="0"/>
        <v>#VALUE!</v>
      </c>
      <c r="U21" s="33" t="s">
        <v>0</v>
      </c>
      <c r="V21" s="34">
        <f>IF(ISERROR(IF(B18&gt;V22,YEAR(V22)+2,YEAR(V22)+1)),"Please enter the correct relevant period",IF(B18&gt;V22,YEAR(V22)+2,YEAR(V22)+1))</f>
        <v>1901</v>
      </c>
    </row>
    <row r="22" spans="1:34" ht="12" customHeight="1" thickBot="1" x14ac:dyDescent="0.35">
      <c r="A22" s="68" t="s">
        <v>20</v>
      </c>
      <c r="B22" s="5"/>
      <c r="C22" s="69"/>
      <c r="E22" s="167" t="str">
        <f t="shared" si="2"/>
        <v/>
      </c>
      <c r="F22" s="168" t="str">
        <f>IF(OR(I21="",I21=0),"",IF(ROUND(MIN($V$2*3,$B$36-SUM($J$6:$J21)),0)&lt;0,0,ROUND(MIN($V$2*3,$B$36-SUM($J$6:$J21)),0)))</f>
        <v/>
      </c>
      <c r="G22" s="168" t="str">
        <f>IF(OR(F22="",F22=0),"",IF(ROUND(MIN($V$2*3,$B$36-SUM($J$6:$J21)-SUM($F22:F22)),0)&lt;0,0,ROUND(MIN($V$2*3,$B$36-SUM($J$6:$J21)-SUM($F22:F22)),0)))</f>
        <v/>
      </c>
      <c r="H22" s="168" t="str">
        <f>IF(OR(G22="",G22=0),"",IF(ROUND(MIN($V$2*3,$B$36-SUM($J$6:$J21)-SUM($F22:G22)),0)&lt;0,0,ROUND(MIN($V$2*3,$B$36-SUM($J$6:$J21)-SUM($F22:G22)),0)))</f>
        <v/>
      </c>
      <c r="I22" s="168" t="str">
        <f>IF(OR(H22="",H22=0),"",IF(ROUND(MIN($V$2*3,$B$36-SUM($J$6:$J21)-SUM($F22:H22)),0)&lt;0,0,ROUND(MIN($V$2*3,$B$36-SUM($J$6:$J21)-SUM($F22:H22)),0)))</f>
        <v/>
      </c>
      <c r="J22" s="169" t="str">
        <f t="shared" si="1"/>
        <v/>
      </c>
      <c r="L22" s="19">
        <v>20</v>
      </c>
      <c r="M22" s="20">
        <v>3</v>
      </c>
      <c r="N22" s="20">
        <v>20</v>
      </c>
      <c r="O22" s="21">
        <v>2</v>
      </c>
      <c r="R22" s="22">
        <v>20</v>
      </c>
      <c r="S22" s="23" t="e">
        <f t="shared" si="0"/>
        <v>#VALUE!</v>
      </c>
      <c r="U22" s="30" t="s">
        <v>9</v>
      </c>
      <c r="V22" s="31">
        <f>DATE(YEAR($B$18),MONTH($B$13),DAY($B$13))</f>
        <v>0</v>
      </c>
    </row>
    <row r="23" spans="1:34" ht="12" customHeight="1" x14ac:dyDescent="0.25">
      <c r="A23" s="68" t="s">
        <v>21</v>
      </c>
      <c r="B23" s="5"/>
      <c r="C23" s="69"/>
      <c r="E23" s="167" t="str">
        <f t="shared" si="2"/>
        <v/>
      </c>
      <c r="F23" s="168" t="str">
        <f>IF(OR(I22="",I22=0),"",IF(ROUND(MIN($V$2*3,$B$36-SUM($J$6:$J22)),0)&lt;0,0,ROUND(MIN($V$2*3,$B$36-SUM($J$6:$J22)),0)))</f>
        <v/>
      </c>
      <c r="G23" s="168" t="str">
        <f>IF(OR(F23="",F23=0),"",IF(ROUND(MIN($V$2*3,$B$36-SUM($J$6:$J22)-SUM($F23:F23)),0)&lt;0,0,ROUND(MIN($V$2*3,$B$36-SUM($J$6:$J22)-SUM($F23:F23)),0)))</f>
        <v/>
      </c>
      <c r="H23" s="168" t="str">
        <f>IF(OR(G23="",G23=0),"",IF(ROUND(MIN($V$2*3,$B$36-SUM($J$6:$J22)-SUM($F23:G23)),0)&lt;0,0,ROUND(MIN($V$2*3,$B$36-SUM($J$6:$J22)-SUM($F23:G23)),0)))</f>
        <v/>
      </c>
      <c r="I23" s="168" t="str">
        <f>IF(OR(H23="",H23=0),"",IF(ROUND(MIN($V$2*3,$B$36-SUM($J$6:$J22)-SUM($F23:H23)),0)&lt;0,0,ROUND(MIN($V$2*3,$B$36-SUM($J$6:$J22)-SUM($F23:H23)),0)))</f>
        <v/>
      </c>
      <c r="J23" s="169" t="str">
        <f t="shared" si="1"/>
        <v/>
      </c>
      <c r="L23" s="19">
        <v>21</v>
      </c>
      <c r="M23" s="20">
        <v>3</v>
      </c>
      <c r="N23" s="20">
        <v>21</v>
      </c>
      <c r="O23" s="21">
        <v>1</v>
      </c>
      <c r="R23" s="22">
        <v>21</v>
      </c>
      <c r="S23" s="23" t="e">
        <f t="shared" si="0"/>
        <v>#VALUE!</v>
      </c>
    </row>
    <row r="24" spans="1:34" ht="12" customHeight="1" thickBot="1" x14ac:dyDescent="0.35">
      <c r="A24" s="68"/>
      <c r="B24" s="70"/>
      <c r="C24" s="69"/>
      <c r="E24" s="167" t="str">
        <f t="shared" si="2"/>
        <v/>
      </c>
      <c r="F24" s="168" t="str">
        <f>IF(OR(I23="",I23=0),"",IF(ROUND(MIN($V$2*3,$B$36-SUM($J$6:$J23)),0)&lt;0,0,ROUND(MIN($V$2*3,$B$36-SUM($J$6:$J23)),0)))</f>
        <v/>
      </c>
      <c r="G24" s="168" t="str">
        <f>IF(OR(F24="",F24=0),"",IF(ROUND(MIN($V$2*3,$B$36-SUM($J$6:$J23)-SUM($F24:F24)),0)&lt;0,0,ROUND(MIN($V$2*3,$B$36-SUM($J$6:$J23)-SUM($F24:F24)),0)))</f>
        <v/>
      </c>
      <c r="H24" s="168" t="str">
        <f>IF(OR(G24="",G24=0),"",IF(ROUND(MIN($V$2*3,$B$36-SUM($J$6:$J23)-SUM($F24:G24)),0)&lt;0,0,ROUND(MIN($V$2*3,$B$36-SUM($J$6:$J23)-SUM($F24:G24)),0)))</f>
        <v/>
      </c>
      <c r="I24" s="168" t="str">
        <f>IF(OR(H24="",H24=0),"",IF(ROUND(MIN($V$2*3,$B$36-SUM($J$6:$J23)-SUM($F24:H24)),0)&lt;0,0,ROUND(MIN($V$2*3,$B$36-SUM($J$6:$J23)-SUM($F24:H24)),0)))</f>
        <v/>
      </c>
      <c r="J24" s="169" t="str">
        <f t="shared" si="1"/>
        <v/>
      </c>
      <c r="L24" s="19">
        <v>22</v>
      </c>
      <c r="M24" s="20">
        <v>4</v>
      </c>
      <c r="N24" s="20">
        <v>22</v>
      </c>
      <c r="O24" s="21">
        <v>3</v>
      </c>
      <c r="R24" s="22">
        <v>22</v>
      </c>
      <c r="S24" s="23" t="e">
        <f t="shared" si="0"/>
        <v>#VALUE!</v>
      </c>
      <c r="U24" s="35"/>
      <c r="W24" s="119" t="s">
        <v>10</v>
      </c>
      <c r="X24" s="119"/>
      <c r="Y24" s="119"/>
      <c r="Z24" s="119"/>
    </row>
    <row r="25" spans="1:34" x14ac:dyDescent="0.25">
      <c r="A25" s="68" t="s">
        <v>72</v>
      </c>
      <c r="B25" s="6"/>
      <c r="C25" s="69"/>
      <c r="E25" s="167" t="str">
        <f t="shared" si="2"/>
        <v/>
      </c>
      <c r="F25" s="168" t="str">
        <f>IF(OR(I24="",I24=0),"",IF(ROUND(MIN($V$2*3,$B$36-SUM($J$6:$J24)),0)&lt;0,0,ROUND(MIN($V$2*3,$B$36-SUM($J$6:$J24)),0)))</f>
        <v/>
      </c>
      <c r="G25" s="168" t="str">
        <f>IF(OR(F25="",F25=0),"",IF(ROUND(MIN($V$2*3,$B$36-SUM($J$6:$J24)-SUM($F25:F25)),0)&lt;0,0,ROUND(MIN($V$2*3,$B$36-SUM($J$6:$J24)-SUM($F25:F25)),0)))</f>
        <v/>
      </c>
      <c r="H25" s="168" t="str">
        <f>IF(OR(G25="",G25=0),"",IF(ROUND(MIN($V$2*3,$B$36-SUM($J$6:$J24)-SUM($F25:G25)),0)&lt;0,0,ROUND(MIN($V$2*3,$B$36-SUM($J$6:$J24)-SUM($F25:G25)),0)))</f>
        <v/>
      </c>
      <c r="I25" s="168" t="str">
        <f>IF(OR(H25="",H25=0),"",IF(ROUND(MIN($V$2*3,$B$36-SUM($J$6:$J24)-SUM($F25:H25)),0)&lt;0,0,ROUND(MIN($V$2*3,$B$36-SUM($J$6:$J24)-SUM($F25:H25)),0)))</f>
        <v/>
      </c>
      <c r="J25" s="169" t="str">
        <f t="shared" si="1"/>
        <v/>
      </c>
      <c r="L25" s="19">
        <v>23</v>
      </c>
      <c r="M25" s="20">
        <v>4</v>
      </c>
      <c r="N25" s="20">
        <v>23</v>
      </c>
      <c r="O25" s="21">
        <v>2</v>
      </c>
      <c r="R25" s="22">
        <v>23</v>
      </c>
      <c r="S25" s="23" t="e">
        <f t="shared" si="0"/>
        <v>#VALUE!</v>
      </c>
      <c r="U25" s="125" t="s">
        <v>2</v>
      </c>
      <c r="V25" s="36"/>
      <c r="W25" s="37">
        <v>2</v>
      </c>
      <c r="X25" s="37">
        <v>5</v>
      </c>
      <c r="Y25" s="37">
        <v>8</v>
      </c>
      <c r="Z25" s="34">
        <v>11</v>
      </c>
    </row>
    <row r="26" spans="1:34" ht="13" thickBot="1" x14ac:dyDescent="0.3">
      <c r="A26" s="68" t="s">
        <v>23</v>
      </c>
      <c r="B26" s="7"/>
      <c r="C26" s="69"/>
      <c r="E26" s="167" t="str">
        <f t="shared" si="2"/>
        <v/>
      </c>
      <c r="F26" s="168" t="str">
        <f>IF(OR(I25="",I25=0),"",IF(ROUND(MIN($V$2*3,$B$36-SUM($J$6:$J25)),0)&lt;0,0,ROUND(MIN($V$2*3,$B$36-SUM($J$6:$J25)),0)))</f>
        <v/>
      </c>
      <c r="G26" s="168" t="str">
        <f>IF(OR(F26="",F26=0),"",IF(ROUND(MIN($V$2*3,$B$36-SUM($J$6:$J25)-SUM($F26:F26)),0)&lt;0,0,ROUND(MIN($V$2*3,$B$36-SUM($J$6:$J25)-SUM($F26:F26)),0)))</f>
        <v/>
      </c>
      <c r="H26" s="168" t="str">
        <f>IF(OR(G26="",G26=0),"",IF(ROUND(MIN($V$2*3,$B$36-SUM($J$6:$J25)-SUM($F26:G26)),0)&lt;0,0,ROUND(MIN($V$2*3,$B$36-SUM($J$6:$J25)-SUM($F26:G26)),0)))</f>
        <v/>
      </c>
      <c r="I26" s="168" t="str">
        <f>IF(OR(H26="",H26=0),"",IF(ROUND(MIN($V$2*3,$B$36-SUM($J$6:$J25)-SUM($F26:H26)),0)&lt;0,0,ROUND(MIN($V$2*3,$B$36-SUM($J$6:$J25)-SUM($F26:H26)),0)))</f>
        <v/>
      </c>
      <c r="J26" s="169" t="str">
        <f t="shared" si="1"/>
        <v/>
      </c>
      <c r="L26" s="38">
        <v>24</v>
      </c>
      <c r="M26" s="39">
        <v>4</v>
      </c>
      <c r="N26" s="39">
        <v>24</v>
      </c>
      <c r="O26" s="40">
        <v>1</v>
      </c>
      <c r="R26" s="22">
        <v>24</v>
      </c>
      <c r="S26" s="23" t="e">
        <f t="shared" si="0"/>
        <v>#VALUE!</v>
      </c>
      <c r="U26" s="125"/>
      <c r="V26" s="22" t="str">
        <f>TEXT(MONTH(DATE(2013,MONTH(B13)+1,1)),0)</f>
        <v>2</v>
      </c>
      <c r="W26" s="41" t="str">
        <f>INDEX($F$6:$I$36,MATCH($B$46,$E$6:$E$36,0),1)</f>
        <v/>
      </c>
      <c r="X26" s="41" t="e">
        <f>INDEX($F$6:$I$36,MATCH($B$46,$E$6:$E$36,0),1)+INDEX($F$6:$I$36,MATCH($B$46,$E$6:$E$36,0),2)</f>
        <v>#VALUE!</v>
      </c>
      <c r="Y26" s="41" t="e">
        <f>INDEX($F$6:$I$36,MATCH($B$46,$E$6:$E$36,0),1)+INDEX($F$6:$I$36,MATCH($B$46,$E$6:$E$36,0),2)+INDEX($F$6:$I$36,MATCH($B$46,$E$6:$E$36,0),3)</f>
        <v>#VALUE!</v>
      </c>
      <c r="Z26" s="42" t="e">
        <f>INDEX($F$6:$I$36,MATCH($B$46,$E$6:$E$36,0),1)+INDEX($F$6:$I$36,MATCH($B$46,$E$6:$E$36,0),2)+INDEX($F$6:$I$36,MATCH($B$46,$E$6:$E$36,0),3)+INDEX($F$6:$I$36,MATCH($B$46,$E$6:$E$36,0),4)</f>
        <v>#VALUE!</v>
      </c>
    </row>
    <row r="27" spans="1:34" ht="13.5" thickBot="1" x14ac:dyDescent="0.3">
      <c r="A27" s="68" t="s">
        <v>25</v>
      </c>
      <c r="B27" s="73">
        <f>SUM(B25:B26)</f>
        <v>0</v>
      </c>
      <c r="C27" s="69"/>
      <c r="E27" s="167" t="str">
        <f t="shared" si="2"/>
        <v/>
      </c>
      <c r="F27" s="168" t="str">
        <f>IF(OR(I26="",I26=0),"",IF(ROUND(MIN($V$2*3,$B$36-SUM($J$6:$J26)),0)&lt;0,0,ROUND(MIN($V$2*3,$B$36-SUM($J$6:$J26)),0)))</f>
        <v/>
      </c>
      <c r="G27" s="168" t="str">
        <f>IF(OR(F27="",F27=0),"",IF(ROUND(MIN($V$2*3,$B$36-SUM($J$6:$J26)-SUM($F27:F27)),0)&lt;0,0,ROUND(MIN($V$2*3,$B$36-SUM($J$6:$J26)-SUM($F27:F27)),0)))</f>
        <v/>
      </c>
      <c r="H27" s="168" t="str">
        <f>IF(OR(G27="",G27=0),"",IF(ROUND(MIN($V$2*3,$B$36-SUM($J$6:$J26)-SUM($F27:G27)),0)&lt;0,0,ROUND(MIN($V$2*3,$B$36-SUM($J$6:$J26)-SUM($F27:G27)),0)))</f>
        <v/>
      </c>
      <c r="I27" s="168" t="str">
        <f>IF(OR(H27="",H27=0),"",IF(ROUND(MIN($V$2*3,$B$36-SUM($J$6:$J26)-SUM($F27:H27)),0)&lt;0,0,ROUND(MIN($V$2*3,$B$36-SUM($J$6:$J26)-SUM($F27:H27)),0)))</f>
        <v/>
      </c>
      <c r="J27" s="169" t="str">
        <f t="shared" si="1"/>
        <v/>
      </c>
      <c r="R27" s="22">
        <v>25</v>
      </c>
      <c r="S27" s="23" t="e">
        <f t="shared" si="0"/>
        <v>#VALUE!</v>
      </c>
      <c r="U27" s="125"/>
      <c r="V27" s="22" t="str">
        <f>TEXT(MONTH(DATE(2013,MONTH(B13)+4,1)),0)</f>
        <v>5</v>
      </c>
      <c r="W27" s="41" t="str">
        <f>INDEX($F$6:$I$36,MATCH($B$46,$E$6:$E$36,0),2)</f>
        <v/>
      </c>
      <c r="X27" s="41" t="e">
        <f>INDEX($F$6:$I$36,MATCH($B$46,$E$6:$E$36,0),2)+INDEX($F$6:$I$36,MATCH($B$46,$E$6:$E$36,0),3)</f>
        <v>#VALUE!</v>
      </c>
      <c r="Y27" s="41" t="e">
        <f>INDEX($F$6:$I$36,MATCH($B$46,$E$6:$E$36,0),2)+INDEX($F$6:$I$36,MATCH($B$46,$E$6:$E$36,0),3)+INDEX($F$6:$I$36,MATCH($B$46,$E$6:$E$36,0),4)</f>
        <v>#VALUE!</v>
      </c>
      <c r="Z27" s="43" t="s">
        <v>8</v>
      </c>
    </row>
    <row r="28" spans="1:34" ht="13" x14ac:dyDescent="0.3">
      <c r="A28" s="68"/>
      <c r="B28" s="70"/>
      <c r="C28" s="69"/>
      <c r="E28" s="167" t="str">
        <f t="shared" si="2"/>
        <v/>
      </c>
      <c r="F28" s="168" t="str">
        <f>IF(OR(I27="",I27=0),"",IF(ROUND(MIN($V$2*3,$B$36-SUM($J$6:$J27)),0)&lt;0,0,ROUND(MIN($V$2*3,$B$36-SUM($J$6:$J27)),0)))</f>
        <v/>
      </c>
      <c r="G28" s="168" t="str">
        <f>IF(OR(F28="",F28=0),"",IF(ROUND(MIN($V$2*3,$B$36-SUM($J$6:$J27)-SUM($F28:F28)),0)&lt;0,0,ROUND(MIN($V$2*3,$B$36-SUM($J$6:$J27)-SUM($F28:F28)),0)))</f>
        <v/>
      </c>
      <c r="H28" s="168" t="str">
        <f>IF(OR(G28="",G28=0),"",IF(ROUND(MIN($V$2*3,$B$36-SUM($J$6:$J27)-SUM($F28:G28)),0)&lt;0,0,ROUND(MIN($V$2*3,$B$36-SUM($J$6:$J27)-SUM($F28:G28)),0)))</f>
        <v/>
      </c>
      <c r="I28" s="168" t="str">
        <f>IF(OR(H28="",H28=0),"",IF(ROUND(MIN($V$2*3,$B$36-SUM($J$6:$J27)-SUM($F28:H28)),0)&lt;0,0,ROUND(MIN($V$2*3,$B$36-SUM($J$6:$J27)-SUM($F28:H28)),0)))</f>
        <v/>
      </c>
      <c r="J28" s="169" t="str">
        <f t="shared" si="1"/>
        <v/>
      </c>
      <c r="L28" s="17" t="s">
        <v>2</v>
      </c>
      <c r="M28" s="44">
        <v>1</v>
      </c>
      <c r="N28" s="44">
        <v>2</v>
      </c>
      <c r="O28" s="44">
        <v>3</v>
      </c>
      <c r="P28" s="28">
        <v>4</v>
      </c>
      <c r="Q28" s="45"/>
      <c r="R28" s="22">
        <v>26</v>
      </c>
      <c r="S28" s="23" t="e">
        <f t="shared" si="0"/>
        <v>#VALUE!</v>
      </c>
      <c r="U28" s="125"/>
      <c r="V28" s="22" t="str">
        <f>TEXT(MONTH(DATE(2013,MONTH(B13)+7,1)),0)</f>
        <v>8</v>
      </c>
      <c r="W28" s="41" t="str">
        <f>INDEX($F$6:$I$36,MATCH($B$46,$E$6:$E$36,0),3)</f>
        <v/>
      </c>
      <c r="X28" s="41" t="e">
        <f>INDEX($F$6:$I$36,MATCH($B$46,$E$6:$E$36,0),3)+INDEX($F$6:$I$36,MATCH($B$46,$E$6:$E$36,0),4)</f>
        <v>#VALUE!</v>
      </c>
      <c r="Y28" s="46" t="s">
        <v>8</v>
      </c>
      <c r="Z28" s="43" t="s">
        <v>8</v>
      </c>
    </row>
    <row r="29" spans="1:34" ht="12" customHeight="1" thickBot="1" x14ac:dyDescent="0.35">
      <c r="A29" s="68" t="s">
        <v>24</v>
      </c>
      <c r="B29" s="6"/>
      <c r="C29" s="69"/>
      <c r="E29" s="167" t="str">
        <f t="shared" si="2"/>
        <v/>
      </c>
      <c r="F29" s="168" t="str">
        <f>IF(OR(I28="",I28=0),"",IF(ROUND(MIN($V$2*3,$B$36-SUM($J$6:$J28)),0)&lt;0,0,ROUND(MIN($V$2*3,$B$36-SUM($J$6:$J28)),0)))</f>
        <v/>
      </c>
      <c r="G29" s="168" t="str">
        <f>IF(OR(F29="",F29=0),"",IF(ROUND(MIN($V$2*3,$B$36-SUM($J$6:$J28)-SUM($F29:F29)),0)&lt;0,0,ROUND(MIN($V$2*3,$B$36-SUM($J$6:$J28)-SUM($F29:F29)),0)))</f>
        <v/>
      </c>
      <c r="H29" s="168" t="str">
        <f>IF(OR(G29="",G29=0),"",IF(ROUND(MIN($V$2*3,$B$36-SUM($J$6:$J28)-SUM($F29:G29)),0)&lt;0,0,ROUND(MIN($V$2*3,$B$36-SUM($J$6:$J28)-SUM($F29:G29)),0)))</f>
        <v/>
      </c>
      <c r="I29" s="168" t="str">
        <f>IF(OR(H29="",H29=0),"",IF(ROUND(MIN($V$2*3,$B$36-SUM($J$6:$J28)-SUM($F29:H29)),0)&lt;0,0,ROUND(MIN($V$2*3,$B$36-SUM($J$6:$J28)-SUM($F29:H29)),0)))</f>
        <v/>
      </c>
      <c r="J29" s="169" t="str">
        <f t="shared" si="1"/>
        <v/>
      </c>
      <c r="L29" s="26" t="s">
        <v>5</v>
      </c>
      <c r="M29" s="47" t="e">
        <f>IF($V$8&lt;&gt;M28,"",LOOKUP($V$7,$N$3:$N$26,$O$3:$O$26))</f>
        <v>#N/A</v>
      </c>
      <c r="N29" s="47" t="e">
        <f>IF($V$8&lt;&gt;N28,"",LOOKUP($V$7,$N$3:$N$26,$O$3:$O$26))</f>
        <v>#N/A</v>
      </c>
      <c r="O29" s="47" t="e">
        <f>IF($V$8&lt;&gt;O28,"",LOOKUP($V$7,$N$3:$N$26,$O$3:$O$26))</f>
        <v>#N/A</v>
      </c>
      <c r="P29" s="48" t="e">
        <f>IF($V$8&lt;&gt;P28,"",LOOKUP($V$7,$N$3:$N$26,$O$3:$O$26))</f>
        <v>#N/A</v>
      </c>
      <c r="Q29" s="49"/>
      <c r="R29" s="22">
        <v>27</v>
      </c>
      <c r="S29" s="23" t="e">
        <f t="shared" si="0"/>
        <v>#VALUE!</v>
      </c>
      <c r="U29" s="125"/>
      <c r="V29" s="50" t="str">
        <f>TEXT(MONTH(DATE(2013,MONTH(B13)+10,1)),0)</f>
        <v>11</v>
      </c>
      <c r="W29" s="51" t="str">
        <f>INDEX($F$6:$I$36,MATCH($B$46,$E$6:$E$36,0),4)</f>
        <v/>
      </c>
      <c r="X29" s="52" t="s">
        <v>8</v>
      </c>
      <c r="Y29" s="52" t="s">
        <v>8</v>
      </c>
      <c r="Z29" s="53" t="s">
        <v>8</v>
      </c>
    </row>
    <row r="30" spans="1:34" ht="12" customHeight="1" thickBot="1" x14ac:dyDescent="0.3">
      <c r="A30" s="68" t="s">
        <v>73</v>
      </c>
      <c r="B30" s="5"/>
      <c r="C30" s="69"/>
      <c r="E30" s="167" t="str">
        <f t="shared" si="2"/>
        <v/>
      </c>
      <c r="F30" s="168" t="str">
        <f>IF(OR(I29="",I29=0),"",IF(ROUND(MIN($V$2*3,$B$36-SUM($J$6:$J29)),0)&lt;0,0,ROUND(MIN($V$2*3,$B$36-SUM($J$6:$J29)),0)))</f>
        <v/>
      </c>
      <c r="G30" s="168" t="str">
        <f>IF(OR(F30="",F30=0),"",IF(ROUND(MIN($V$2*3,$B$36-SUM($J$6:$J29)-SUM($F30:F30)),0)&lt;0,0,ROUND(MIN($V$2*3,$B$36-SUM($J$6:$J29)-SUM($F30:F30)),0)))</f>
        <v/>
      </c>
      <c r="H30" s="168" t="str">
        <f>IF(OR(G30="",G30=0),"",IF(ROUND(MIN($V$2*3,$B$36-SUM($J$6:$J29)-SUM($F30:G30)),0)&lt;0,0,ROUND(MIN($V$2*3,$B$36-SUM($J$6:$J29)-SUM($F30:G30)),0)))</f>
        <v/>
      </c>
      <c r="I30" s="168" t="str">
        <f>IF(OR(H30="",H30=0),"",IF(ROUND(MIN($V$2*3,$B$36-SUM($J$6:$J29)-SUM($F30:H30)),0)&lt;0,0,ROUND(MIN($V$2*3,$B$36-SUM($J$6:$J29)-SUM($F30:H30)),0)))</f>
        <v/>
      </c>
      <c r="J30" s="169" t="str">
        <f t="shared" si="1"/>
        <v/>
      </c>
      <c r="R30" s="22">
        <v>28</v>
      </c>
      <c r="S30" s="23" t="e">
        <f t="shared" si="0"/>
        <v>#VALUE!</v>
      </c>
    </row>
    <row r="31" spans="1:34" x14ac:dyDescent="0.25">
      <c r="A31" s="68"/>
      <c r="B31" s="70"/>
      <c r="C31" s="69"/>
      <c r="E31" s="167" t="str">
        <f t="shared" si="2"/>
        <v/>
      </c>
      <c r="F31" s="168" t="str">
        <f>IF(OR(I30="",I30=0),"",IF(ROUND(MIN($V$2*3,$B$36-SUM($J$6:$J30)),0)&lt;0,0,ROUND(MIN($V$2*3,$B$36-SUM($J$6:$J30)),0)))</f>
        <v/>
      </c>
      <c r="G31" s="168" t="str">
        <f>IF(OR(F31="",F31=0),"",IF(ROUND(MIN($V$2*3,$B$36-SUM($J$6:$J30)-SUM($F31:F31)),0)&lt;0,0,ROUND(MIN($V$2*3,$B$36-SUM($J$6:$J30)-SUM($F31:F31)),0)))</f>
        <v/>
      </c>
      <c r="H31" s="168" t="str">
        <f>IF(OR(G31="",G31=0),"",IF(ROUND(MIN($V$2*3,$B$36-SUM($J$6:$J30)-SUM($F31:G31)),0)&lt;0,0,ROUND(MIN($V$2*3,$B$36-SUM($J$6:$J30)-SUM($F31:G31)),0)))</f>
        <v/>
      </c>
      <c r="I31" s="168" t="str">
        <f>IF(OR(H31="",H31=0),"",IF(ROUND(MIN($V$2*3,$B$36-SUM($J$6:$J30)-SUM($F31:H31)),0)&lt;0,0,ROUND(MIN($V$2*3,$B$36-SUM($J$6:$J30)-SUM($F31:H31)),0)))</f>
        <v/>
      </c>
      <c r="J31" s="169" t="str">
        <f t="shared" si="1"/>
        <v/>
      </c>
      <c r="R31" s="22">
        <v>29</v>
      </c>
      <c r="S31" s="23" t="e">
        <f t="shared" si="0"/>
        <v>#VALUE!</v>
      </c>
      <c r="V31" s="36"/>
      <c r="W31" s="54">
        <v>44957</v>
      </c>
      <c r="X31" s="54">
        <v>44985</v>
      </c>
      <c r="Y31" s="54">
        <v>45016</v>
      </c>
      <c r="Z31" s="54">
        <v>45046</v>
      </c>
      <c r="AA31" s="54">
        <v>45077</v>
      </c>
      <c r="AB31" s="54">
        <v>45107</v>
      </c>
      <c r="AC31" s="54">
        <v>45138</v>
      </c>
      <c r="AD31" s="54">
        <v>45169</v>
      </c>
      <c r="AE31" s="54">
        <v>45199</v>
      </c>
      <c r="AF31" s="54">
        <v>45230</v>
      </c>
      <c r="AG31" s="54">
        <v>45260</v>
      </c>
      <c r="AH31" s="55">
        <v>45291</v>
      </c>
    </row>
    <row r="32" spans="1:34" ht="14.15" customHeight="1" x14ac:dyDescent="0.35">
      <c r="A32" s="89" t="s">
        <v>56</v>
      </c>
      <c r="B32" s="7"/>
      <c r="C32" s="69"/>
      <c r="E32" s="167" t="str">
        <f t="shared" si="2"/>
        <v/>
      </c>
      <c r="F32" s="168" t="str">
        <f>IF(OR(I31="",I31=0),"",IF(ROUND(MIN($V$2*3,$B$36-SUM($J$6:$J31)),0)&lt;0,0,ROUND(MIN($V$2*3,$B$36-SUM($J$6:$J31)),0)))</f>
        <v/>
      </c>
      <c r="G32" s="168" t="str">
        <f>IF(OR(F32="",F32=0),"",IF(ROUND(MIN($V$2*3,$B$36-SUM($J$6:$J31)-SUM($F32:F32)),0)&lt;0,0,ROUND(MIN($V$2*3,$B$36-SUM($J$6:$J31)-SUM($F32:F32)),0)))</f>
        <v/>
      </c>
      <c r="H32" s="168" t="str">
        <f>IF(OR(G32="",G32=0),"",IF(ROUND(MIN($V$2*3,$B$36-SUM($J$6:$J31)-SUM($F32:G32)),0)&lt;0,0,ROUND(MIN($V$2*3,$B$36-SUM($J$6:$J31)-SUM($F32:G32)),0)))</f>
        <v/>
      </c>
      <c r="I32" s="168" t="str">
        <f>IF(OR(H32="",H32=0),"",IF(ROUND(MIN($V$2*3,$B$36-SUM($J$6:$J31)-SUM($F32:H32)),0)&lt;0,0,ROUND(MIN($V$2*3,$B$36-SUM($J$6:$J31)-SUM($F32:H32)),0)))</f>
        <v/>
      </c>
      <c r="J32" s="169" t="str">
        <f t="shared" si="1"/>
        <v/>
      </c>
      <c r="R32" s="22">
        <v>30</v>
      </c>
      <c r="S32" s="23" t="e">
        <f t="shared" si="0"/>
        <v>#VALUE!</v>
      </c>
      <c r="V32" s="56">
        <v>1</v>
      </c>
      <c r="W32" s="46">
        <v>1</v>
      </c>
      <c r="X32" s="46">
        <v>1</v>
      </c>
      <c r="Y32" s="46">
        <v>1</v>
      </c>
      <c r="Z32" s="46">
        <v>1</v>
      </c>
      <c r="AA32" s="46">
        <v>1</v>
      </c>
      <c r="AB32" s="46">
        <v>1</v>
      </c>
      <c r="AC32" s="46">
        <v>1</v>
      </c>
      <c r="AD32" s="46">
        <v>1</v>
      </c>
      <c r="AE32" s="46">
        <v>1</v>
      </c>
      <c r="AF32" s="46">
        <v>1</v>
      </c>
      <c r="AG32" s="46">
        <v>1</v>
      </c>
      <c r="AH32" s="43">
        <v>1</v>
      </c>
    </row>
    <row r="33" spans="1:34" ht="13" thickBot="1" x14ac:dyDescent="0.3">
      <c r="A33" s="68" t="s">
        <v>16</v>
      </c>
      <c r="B33" s="6"/>
      <c r="C33" s="69"/>
      <c r="E33" s="167" t="str">
        <f t="shared" si="2"/>
        <v/>
      </c>
      <c r="F33" s="168" t="str">
        <f>IF(OR(I32="",I32=0),"",IF(ROUND(MIN($V$2*3,$B$36-SUM($J$6:$J32)),0)&lt;0,0,ROUND(MIN($V$2*3,$B$36-SUM($J$6:$J32)),0)))</f>
        <v/>
      </c>
      <c r="G33" s="168" t="str">
        <f>IF(OR(F33="",F33=0),"",IF(ROUND(MIN($V$2*3,$B$36-SUM($J$6:$J32)-SUM($F33:F33)),0)&lt;0,0,ROUND(MIN($V$2*3,$B$36-SUM($J$6:$J32)-SUM($F33:F33)),0)))</f>
        <v/>
      </c>
      <c r="H33" s="168" t="str">
        <f>IF(OR(G33="",G33=0),"",IF(ROUND(MIN($V$2*3,$B$36-SUM($J$6:$J32)-SUM($F33:G33)),0)&lt;0,0,ROUND(MIN($V$2*3,$B$36-SUM($J$6:$J32)-SUM($F33:G33)),0)))</f>
        <v/>
      </c>
      <c r="I33" s="168" t="str">
        <f>IF(OR(H33="",H33=0),"",IF(ROUND(MIN($V$2*3,$B$36-SUM($J$6:$J32)-SUM($F33:H33)),0)&lt;0,0,ROUND(MIN($V$2*3,$B$36-SUM($J$6:$J32)-SUM($F33:H33)),0)))</f>
        <v/>
      </c>
      <c r="J33" s="169" t="str">
        <f t="shared" si="1"/>
        <v/>
      </c>
      <c r="R33" s="38">
        <v>31</v>
      </c>
      <c r="S33" s="40" t="e">
        <f t="shared" si="0"/>
        <v>#VALUE!</v>
      </c>
      <c r="V33" s="56">
        <v>2</v>
      </c>
      <c r="W33" s="46">
        <v>2</v>
      </c>
      <c r="X33" s="46">
        <v>1</v>
      </c>
      <c r="Y33" s="46">
        <v>1</v>
      </c>
      <c r="Z33" s="46">
        <v>1</v>
      </c>
      <c r="AA33" s="46">
        <v>1</v>
      </c>
      <c r="AB33" s="46">
        <v>1</v>
      </c>
      <c r="AC33" s="46">
        <v>1</v>
      </c>
      <c r="AD33" s="46">
        <v>1</v>
      </c>
      <c r="AE33" s="46">
        <v>1</v>
      </c>
      <c r="AF33" s="46">
        <v>1</v>
      </c>
      <c r="AG33" s="46">
        <v>1</v>
      </c>
      <c r="AH33" s="43">
        <v>1</v>
      </c>
    </row>
    <row r="34" spans="1:34" x14ac:dyDescent="0.25">
      <c r="A34" s="68" t="s">
        <v>75</v>
      </c>
      <c r="B34" s="6"/>
      <c r="C34" s="69"/>
      <c r="E34" s="167"/>
      <c r="F34" s="168"/>
      <c r="G34" s="168"/>
      <c r="H34" s="168"/>
      <c r="I34" s="168"/>
      <c r="J34" s="169"/>
      <c r="R34" s="49"/>
      <c r="S34" s="49"/>
      <c r="V34" s="56"/>
      <c r="W34" s="46"/>
      <c r="X34" s="46"/>
      <c r="Y34" s="46"/>
      <c r="Z34" s="46"/>
      <c r="AA34" s="46"/>
      <c r="AB34" s="46"/>
      <c r="AC34" s="46"/>
      <c r="AD34" s="46"/>
      <c r="AE34" s="46"/>
      <c r="AF34" s="46"/>
      <c r="AG34" s="46"/>
      <c r="AH34" s="43"/>
    </row>
    <row r="35" spans="1:34" ht="13" thickBot="1" x14ac:dyDescent="0.3">
      <c r="A35" s="68"/>
      <c r="B35" s="75"/>
      <c r="C35" s="69"/>
      <c r="E35" s="167" t="str">
        <f>IF(OR(F35="",F35=0),"",E33+1)</f>
        <v/>
      </c>
      <c r="F35" s="168" t="str">
        <f>IF(OR(I33="",I33=0),"",IF(ROUND(MIN($V$2*3,$B$36-SUM($J$6:$J33)),0)&lt;0,0,ROUND(MIN($V$2*3,$B$36-SUM($J$6:$J33)),0)))</f>
        <v/>
      </c>
      <c r="G35" s="168" t="str">
        <f>IF(OR(F35="",F35=0),"",IF(ROUND(MIN($V$2*3,$B$36-SUM($J$6:$J33)-SUM($F35:F35)),0)&lt;0,0,ROUND(MIN($V$2*3,$B$36-SUM($J$6:$J33)-SUM($F35:F35)),0)))</f>
        <v/>
      </c>
      <c r="H35" s="168" t="str">
        <f>IF(OR(G35="",G35=0),"",IF(ROUND(MIN($V$2*3,$B$36-SUM($J$6:$J33)-SUM($F35:G35)),0)&lt;0,0,ROUND(MIN($V$2*3,$B$36-SUM($J$6:$J33)-SUM($F35:G35)),0)))</f>
        <v/>
      </c>
      <c r="I35" s="168" t="str">
        <f>IF(OR(H35="",H35=0),"",IF(ROUND(MIN($V$2*3,$B$36-SUM($J$6:$J33)-SUM($F35:H35)),0)&lt;0,0,ROUND(MIN($V$2*3,$B$36-SUM($J$6:$J33)-SUM($F35:H35)),0)))</f>
        <v/>
      </c>
      <c r="J35" s="169" t="str">
        <f>IF(E35="","",SUM(F35:I35))</f>
        <v/>
      </c>
      <c r="V35" s="56">
        <v>3</v>
      </c>
      <c r="W35" s="46">
        <v>2</v>
      </c>
      <c r="X35" s="46">
        <v>2</v>
      </c>
      <c r="Y35" s="46">
        <v>1</v>
      </c>
      <c r="Z35" s="46">
        <v>1</v>
      </c>
      <c r="AA35" s="46">
        <v>1</v>
      </c>
      <c r="AB35" s="46">
        <v>1</v>
      </c>
      <c r="AC35" s="46">
        <v>1</v>
      </c>
      <c r="AD35" s="46">
        <v>1</v>
      </c>
      <c r="AE35" s="46">
        <v>1</v>
      </c>
      <c r="AF35" s="46">
        <v>1</v>
      </c>
      <c r="AG35" s="46">
        <v>1</v>
      </c>
      <c r="AH35" s="43">
        <v>1</v>
      </c>
    </row>
    <row r="36" spans="1:34" ht="13" x14ac:dyDescent="0.3">
      <c r="A36" s="68" t="s">
        <v>76</v>
      </c>
      <c r="B36" s="76">
        <f>IF(MIN(IF(B14="Y",B25-B32,B27-B32),100000-B33-B35)&lt;0,0,MIN(IF(B14="Y",B25-B32,B27-B32),100000-B33-B34))</f>
        <v>0</v>
      </c>
      <c r="C36" s="69"/>
      <c r="E36" s="167" t="str">
        <f>IF(OR(F36="",F36=0),"",E35+1)</f>
        <v/>
      </c>
      <c r="F36" s="170" t="str">
        <f>IF(OR(I35="",I35=0),"",IF(ROUND(MIN($V$2*3,$B$36-SUM($J$6:$J35)),0)&lt;0,0,ROUND(MIN($V$2*3,$B$36-SUM($J$6:$J35)),0)))</f>
        <v/>
      </c>
      <c r="G36" s="170" t="str">
        <f>IF(OR(F36="",F36=0),"",IF(ROUND(MIN($V$2*3,$B$36-SUM($J$6:$J35)-SUM($F36:F36)),0)&lt;0,0,ROUND(MIN($V$2*3,$B$36-SUM($J$6:$J35)-SUM($F36:F36)),0)))</f>
        <v/>
      </c>
      <c r="H36" s="170" t="str">
        <f>IF(OR(G36="",G36=0),"",IF(ROUND(MIN($V$2*3,$B$36-SUM($J$6:$J35)-SUM($F36:G36)),0)&lt;0,0,ROUND(MIN($V$2*3,$B$36-SUM($J$6:$J35)-SUM($F36:G36)),0)))</f>
        <v/>
      </c>
      <c r="I36" s="170" t="str">
        <f>IF(OR(H36="",H36=0),"",IF(ROUND(MIN($V$2*3,$B$36-SUM($J$6:$J35)-SUM($F36:H36)),0)&lt;0,0,ROUND(MIN($V$2*3,$B$36-SUM($J$6:$J35)-SUM($F36:H36)),0)))</f>
        <v/>
      </c>
      <c r="J36" s="171" t="str">
        <f>IF(E36="","",SUM(F36:I36))</f>
        <v/>
      </c>
      <c r="R36" s="57" t="s">
        <v>11</v>
      </c>
      <c r="V36" s="56">
        <v>4</v>
      </c>
      <c r="W36" s="46">
        <v>2</v>
      </c>
      <c r="X36" s="46">
        <v>2</v>
      </c>
      <c r="Y36" s="46">
        <v>2</v>
      </c>
      <c r="Z36" s="46">
        <v>1</v>
      </c>
      <c r="AA36" s="46">
        <v>1</v>
      </c>
      <c r="AB36" s="46">
        <v>1</v>
      </c>
      <c r="AC36" s="46">
        <v>1</v>
      </c>
      <c r="AD36" s="46">
        <v>1</v>
      </c>
      <c r="AE36" s="46">
        <v>1</v>
      </c>
      <c r="AF36" s="46">
        <v>1</v>
      </c>
      <c r="AG36" s="46">
        <v>1</v>
      </c>
      <c r="AH36" s="43">
        <v>1</v>
      </c>
    </row>
    <row r="37" spans="1:34" ht="13.5" thickBot="1" x14ac:dyDescent="0.3">
      <c r="A37" s="77"/>
      <c r="B37" s="75"/>
      <c r="C37" s="69"/>
      <c r="E37" s="172" t="str">
        <f>IF(OR(F37="",F37=0),"",E36+1)</f>
        <v/>
      </c>
      <c r="F37" s="173" t="str">
        <f>IF(OR(I36="",I36=0),"",IF(ROUND(MIN($V$2*3,$B$36-SUM($J$6:$J36)),0)&lt;0,0,ROUND(MIN($V$2*3,$B$36-SUM($J$6:$J36)),0)))</f>
        <v/>
      </c>
      <c r="G37" s="173" t="str">
        <f>IF(OR(F37="",F37=0),"",IF(ROUND(MIN($V$2*3,$B$36-SUM($J$6:$J36)-SUM($F37:F37)),0)&lt;0,0,ROUND(MIN($V$2*3,$B$36-SUM($J$6:$J36)-SUM($F37:F37)),0)))</f>
        <v/>
      </c>
      <c r="H37" s="173" t="str">
        <f>IF(OR(G37="",G37=0),"",IF(ROUND(MIN($V$2*3,$B$36-SUM($J$6:$J36)-SUM($F37:G37)),0)&lt;0,0,ROUND(MIN($V$2*3,$B$36-SUM($J$6:$J36)-SUM($F37:G37)),0)))</f>
        <v/>
      </c>
      <c r="I37" s="173" t="str">
        <f>IF(OR(H37="",H37=0),"",IF(ROUND(MIN($V$2*3,$B$36-SUM($J$6:$J36)-SUM($F37:H37)),0)&lt;0,0,ROUND(MIN($V$2*3,$B$36-SUM($J$6:$J36)-SUM($F37:H37)),0)))</f>
        <v/>
      </c>
      <c r="J37" s="174" t="str">
        <f>IF(E37="","",SUM(F37:I37))</f>
        <v/>
      </c>
      <c r="R37" s="58">
        <v>44957</v>
      </c>
      <c r="U37" s="59"/>
      <c r="V37" s="56">
        <v>5</v>
      </c>
      <c r="W37" s="46">
        <v>2</v>
      </c>
      <c r="X37" s="46">
        <v>2</v>
      </c>
      <c r="Y37" s="46">
        <v>2</v>
      </c>
      <c r="Z37" s="46">
        <v>2</v>
      </c>
      <c r="AA37" s="46">
        <v>1</v>
      </c>
      <c r="AB37" s="46">
        <v>1</v>
      </c>
      <c r="AC37" s="46">
        <v>1</v>
      </c>
      <c r="AD37" s="46">
        <v>1</v>
      </c>
      <c r="AE37" s="46">
        <v>1</v>
      </c>
      <c r="AF37" s="46">
        <v>1</v>
      </c>
      <c r="AG37" s="46">
        <v>1</v>
      </c>
      <c r="AH37" s="43">
        <v>1</v>
      </c>
    </row>
    <row r="38" spans="1:34" ht="13.5" thickBot="1" x14ac:dyDescent="0.35">
      <c r="A38" s="84"/>
      <c r="B38" s="90"/>
      <c r="C38" s="86"/>
      <c r="D38" s="78"/>
      <c r="E38" s="175" t="s">
        <v>1</v>
      </c>
      <c r="F38" s="176"/>
      <c r="G38" s="176"/>
      <c r="H38" s="176"/>
      <c r="I38" s="176"/>
      <c r="J38" s="177">
        <f>SUM(J6:J36)</f>
        <v>0</v>
      </c>
      <c r="R38" s="58">
        <v>44985</v>
      </c>
      <c r="V38" s="56">
        <v>6</v>
      </c>
      <c r="W38" s="46">
        <v>2</v>
      </c>
      <c r="X38" s="46">
        <v>2</v>
      </c>
      <c r="Y38" s="46">
        <v>2</v>
      </c>
      <c r="Z38" s="46">
        <v>2</v>
      </c>
      <c r="AA38" s="46">
        <v>2</v>
      </c>
      <c r="AB38" s="46">
        <v>1</v>
      </c>
      <c r="AC38" s="46">
        <v>1</v>
      </c>
      <c r="AD38" s="46">
        <v>1</v>
      </c>
      <c r="AE38" s="46">
        <v>1</v>
      </c>
      <c r="AF38" s="46">
        <v>1</v>
      </c>
      <c r="AG38" s="46">
        <v>1</v>
      </c>
      <c r="AH38" s="43">
        <v>1</v>
      </c>
    </row>
    <row r="39" spans="1:34" ht="13.5" thickBot="1" x14ac:dyDescent="0.3">
      <c r="A39" s="65" t="s">
        <v>17</v>
      </c>
      <c r="B39" s="71"/>
      <c r="C39" s="67"/>
      <c r="E39" s="178" t="s">
        <v>66</v>
      </c>
      <c r="R39" s="58">
        <v>45016</v>
      </c>
      <c r="V39" s="56">
        <v>7</v>
      </c>
      <c r="W39" s="46">
        <v>2</v>
      </c>
      <c r="X39" s="46">
        <v>2</v>
      </c>
      <c r="Y39" s="46">
        <v>2</v>
      </c>
      <c r="Z39" s="46">
        <v>2</v>
      </c>
      <c r="AA39" s="46">
        <v>2</v>
      </c>
      <c r="AB39" s="46">
        <v>2</v>
      </c>
      <c r="AC39" s="46">
        <v>1</v>
      </c>
      <c r="AD39" s="46">
        <v>1</v>
      </c>
      <c r="AE39" s="46">
        <v>1</v>
      </c>
      <c r="AF39" s="46">
        <v>1</v>
      </c>
      <c r="AG39" s="46">
        <v>1</v>
      </c>
      <c r="AH39" s="43">
        <v>1</v>
      </c>
    </row>
    <row r="40" spans="1:34" ht="12" customHeight="1" x14ac:dyDescent="0.25">
      <c r="A40" s="91"/>
      <c r="B40" s="92"/>
      <c r="C40" s="88"/>
      <c r="E40" s="180"/>
      <c r="F40" s="181"/>
      <c r="G40" s="181"/>
      <c r="H40" s="181"/>
      <c r="I40" s="181"/>
      <c r="J40" s="182"/>
      <c r="R40" s="58">
        <v>45046</v>
      </c>
      <c r="V40" s="56">
        <v>8</v>
      </c>
      <c r="W40" s="46">
        <v>2</v>
      </c>
      <c r="X40" s="46">
        <v>2</v>
      </c>
      <c r="Y40" s="46">
        <v>2</v>
      </c>
      <c r="Z40" s="46">
        <v>2</v>
      </c>
      <c r="AA40" s="46">
        <v>2</v>
      </c>
      <c r="AB40" s="46">
        <v>2</v>
      </c>
      <c r="AC40" s="46">
        <v>2</v>
      </c>
      <c r="AD40" s="46">
        <v>1</v>
      </c>
      <c r="AE40" s="46">
        <v>1</v>
      </c>
      <c r="AF40" s="46">
        <v>1</v>
      </c>
      <c r="AG40" s="46">
        <v>1</v>
      </c>
      <c r="AH40" s="43">
        <v>1</v>
      </c>
    </row>
    <row r="41" spans="1:34" ht="12" customHeight="1" x14ac:dyDescent="0.25">
      <c r="A41" s="68" t="s">
        <v>61</v>
      </c>
      <c r="B41" s="70"/>
      <c r="C41" s="69"/>
      <c r="E41" s="182"/>
      <c r="F41" s="181"/>
      <c r="G41" s="181"/>
      <c r="H41" s="181"/>
      <c r="I41" s="181"/>
      <c r="J41" s="182"/>
      <c r="R41" s="58">
        <v>45077</v>
      </c>
      <c r="V41" s="56">
        <v>9</v>
      </c>
      <c r="W41" s="46">
        <v>2</v>
      </c>
      <c r="X41" s="46">
        <v>2</v>
      </c>
      <c r="Y41" s="46">
        <v>2</v>
      </c>
      <c r="Z41" s="46">
        <v>2</v>
      </c>
      <c r="AA41" s="46">
        <v>2</v>
      </c>
      <c r="AB41" s="46">
        <v>2</v>
      </c>
      <c r="AC41" s="46">
        <v>2</v>
      </c>
      <c r="AD41" s="46">
        <v>2</v>
      </c>
      <c r="AE41" s="46">
        <v>1</v>
      </c>
      <c r="AF41" s="46">
        <v>1</v>
      </c>
      <c r="AG41" s="46">
        <v>1</v>
      </c>
      <c r="AH41" s="43">
        <v>1</v>
      </c>
    </row>
    <row r="42" spans="1:34" ht="12" customHeight="1" x14ac:dyDescent="0.25">
      <c r="A42" s="80"/>
      <c r="B42" s="70"/>
      <c r="C42" s="69"/>
      <c r="E42" s="183"/>
      <c r="F42" s="184"/>
      <c r="G42" s="185"/>
      <c r="H42" s="186"/>
      <c r="I42" s="187"/>
      <c r="J42" s="188"/>
      <c r="R42" s="58">
        <v>45107</v>
      </c>
      <c r="V42" s="56">
        <v>10</v>
      </c>
      <c r="W42" s="46">
        <v>2</v>
      </c>
      <c r="X42" s="46">
        <v>2</v>
      </c>
      <c r="Y42" s="46">
        <v>2</v>
      </c>
      <c r="Z42" s="46">
        <v>2</v>
      </c>
      <c r="AA42" s="46">
        <v>2</v>
      </c>
      <c r="AB42" s="46">
        <v>2</v>
      </c>
      <c r="AC42" s="46">
        <v>2</v>
      </c>
      <c r="AD42" s="46">
        <v>2</v>
      </c>
      <c r="AE42" s="46">
        <v>2</v>
      </c>
      <c r="AF42" s="46">
        <v>1</v>
      </c>
      <c r="AG42" s="46">
        <v>1</v>
      </c>
      <c r="AH42" s="43">
        <v>1</v>
      </c>
    </row>
    <row r="43" spans="1:34" ht="12" customHeight="1" x14ac:dyDescent="0.25">
      <c r="A43" s="68" t="s">
        <v>64</v>
      </c>
      <c r="B43" s="14">
        <f>'IA IPRs 1'!B42</f>
        <v>0</v>
      </c>
      <c r="C43" s="69"/>
      <c r="E43" s="183"/>
      <c r="F43" s="186"/>
      <c r="G43" s="189"/>
      <c r="H43" s="186"/>
      <c r="I43" s="187"/>
      <c r="J43" s="190"/>
      <c r="R43" s="58">
        <v>45138</v>
      </c>
      <c r="V43" s="56">
        <v>11</v>
      </c>
      <c r="W43" s="46">
        <v>2</v>
      </c>
      <c r="X43" s="46">
        <v>2</v>
      </c>
      <c r="Y43" s="46">
        <v>2</v>
      </c>
      <c r="Z43" s="46">
        <v>2</v>
      </c>
      <c r="AA43" s="46">
        <v>2</v>
      </c>
      <c r="AB43" s="46">
        <v>2</v>
      </c>
      <c r="AC43" s="46">
        <v>2</v>
      </c>
      <c r="AD43" s="46">
        <v>2</v>
      </c>
      <c r="AE43" s="46">
        <v>2</v>
      </c>
      <c r="AF43" s="46">
        <v>2</v>
      </c>
      <c r="AG43" s="46">
        <v>1</v>
      </c>
      <c r="AH43" s="43">
        <v>1</v>
      </c>
    </row>
    <row r="44" spans="1:34" ht="12" customHeight="1" thickBot="1" x14ac:dyDescent="0.3">
      <c r="A44" s="68" t="s">
        <v>65</v>
      </c>
      <c r="B44" s="14">
        <f>'IA IPRs 1'!B43</f>
        <v>0</v>
      </c>
      <c r="C44" s="69"/>
      <c r="E44" s="191"/>
      <c r="F44" s="186"/>
      <c r="G44" s="186"/>
      <c r="H44" s="186"/>
      <c r="I44" s="186"/>
      <c r="J44" s="192"/>
      <c r="R44" s="58">
        <v>45169</v>
      </c>
      <c r="V44" s="60">
        <v>12</v>
      </c>
      <c r="W44" s="52">
        <v>2</v>
      </c>
      <c r="X44" s="52">
        <v>2</v>
      </c>
      <c r="Y44" s="52">
        <v>2</v>
      </c>
      <c r="Z44" s="52">
        <v>2</v>
      </c>
      <c r="AA44" s="52">
        <v>2</v>
      </c>
      <c r="AB44" s="52">
        <v>2</v>
      </c>
      <c r="AC44" s="52">
        <v>2</v>
      </c>
      <c r="AD44" s="52">
        <v>2</v>
      </c>
      <c r="AE44" s="52">
        <v>2</v>
      </c>
      <c r="AF44" s="52">
        <v>2</v>
      </c>
      <c r="AG44" s="52">
        <v>2</v>
      </c>
      <c r="AH44" s="53">
        <v>1</v>
      </c>
    </row>
    <row r="45" spans="1:34" ht="12" customHeight="1" x14ac:dyDescent="0.25">
      <c r="A45" s="68"/>
      <c r="C45" s="69"/>
      <c r="E45" s="193"/>
      <c r="F45" s="193"/>
      <c r="G45" s="193"/>
      <c r="H45" s="193"/>
      <c r="I45" s="193"/>
      <c r="J45" s="193"/>
      <c r="R45" s="58">
        <v>45199</v>
      </c>
    </row>
    <row r="46" spans="1:34" ht="12" customHeight="1" x14ac:dyDescent="0.25">
      <c r="A46" s="81" t="s">
        <v>26</v>
      </c>
      <c r="B46" s="82" t="str">
        <f>IF(IF(ISERROR(IF(B43&gt;V9,YEAR(V9)+2,YEAR(V9)+1)),”Please enter the correct relevant period”, IF(B43&gt;V9,YEAR(V9)+2,YEAR(V9)+1))=1901,"",IF(ISERROR(IF(B43&gt;V9,YEAR(V9)+2,YEAR(V9)+1)), "Please enter the correct relevant period", IF(B43&gt;V9,YEAR(V9)+2,YEAR(V9)+1)))</f>
        <v/>
      </c>
      <c r="C46" s="69"/>
      <c r="E46" s="193"/>
      <c r="F46" s="193"/>
      <c r="G46" s="193"/>
      <c r="H46" s="193"/>
      <c r="I46" s="193"/>
      <c r="J46" s="193"/>
      <c r="R46" s="58">
        <v>45230</v>
      </c>
    </row>
    <row r="47" spans="1:34" ht="12" customHeight="1" thickBot="1" x14ac:dyDescent="0.3">
      <c r="A47" s="80"/>
      <c r="B47" s="82"/>
      <c r="C47" s="69"/>
      <c r="E47" s="193"/>
      <c r="F47" s="193"/>
      <c r="G47" s="193"/>
      <c r="H47" s="193"/>
      <c r="I47" s="193"/>
      <c r="J47" s="193"/>
      <c r="R47" s="58">
        <v>45260</v>
      </c>
    </row>
    <row r="48" spans="1:34" ht="12" customHeight="1" thickBot="1" x14ac:dyDescent="0.3">
      <c r="A48" s="80" t="s">
        <v>27</v>
      </c>
      <c r="B48" s="83" t="str">
        <f>IF(ISERROR(INDEX(W26:Z29,MATCH(TEXT(MONTH(B43),0),V26:V29,0),MATCH((YEAR(B44)-YEAR(B43))*12+MONTH(B44)-MONTH(B43),W25:Z25,0))),"Please enter the correct relevant period",INDEX(W26:Z29,MATCH(TEXT(MONTH(B43),0),V26:V29,0),MATCH((YEAR(B44)-YEAR(B43))*12+MONTH(B44)-MONTH(B43),W25:Z25,0)))</f>
        <v>Please enter the correct relevant period</v>
      </c>
      <c r="C48" s="69"/>
      <c r="E48" s="193"/>
      <c r="F48" s="193"/>
      <c r="G48" s="193"/>
      <c r="H48" s="193"/>
      <c r="I48" s="193"/>
      <c r="J48" s="193"/>
      <c r="R48" s="61">
        <v>45291</v>
      </c>
    </row>
    <row r="49" spans="1:18" ht="12" customHeight="1" x14ac:dyDescent="0.25">
      <c r="A49" s="68"/>
      <c r="B49" s="70" t="s">
        <v>18</v>
      </c>
      <c r="C49" s="69"/>
      <c r="R49" s="62"/>
    </row>
    <row r="50" spans="1:18" ht="12" customHeight="1" thickBot="1" x14ac:dyDescent="0.3">
      <c r="A50" s="84"/>
      <c r="B50" s="85"/>
      <c r="C50" s="86"/>
    </row>
    <row r="52" spans="1:18" x14ac:dyDescent="0.25">
      <c r="R52" s="62"/>
    </row>
  </sheetData>
  <sheetProtection algorithmName="SHA-512" hashValue="LWb5frBk/XGBqr+8N6NOzjiav5qnvMorA0oCiEfKlpDQTBGP0uw0Lb8BGttIoSX3isUyfcmltbWD1nW1cltL/Q==" saltValue="pk1z/TmSRbF8b6SXqOXJAA==" spinCount="100000" sheet="1"/>
  <mergeCells count="14">
    <mergeCell ref="R2:S2"/>
    <mergeCell ref="W24:Z24"/>
    <mergeCell ref="U25:U29"/>
    <mergeCell ref="A3:C9"/>
    <mergeCell ref="E4:E5"/>
    <mergeCell ref="F4:I4"/>
    <mergeCell ref="J4:J5"/>
    <mergeCell ref="A1:C2"/>
    <mergeCell ref="E1:J2"/>
    <mergeCell ref="E42:E43"/>
    <mergeCell ref="I42:I43"/>
    <mergeCell ref="E45:J48"/>
    <mergeCell ref="L2:M2"/>
    <mergeCell ref="N2:O2"/>
  </mergeCells>
  <dataValidations count="7">
    <dataValidation type="date" allowBlank="1" showInputMessage="1" showErrorMessage="1" sqref="B18:B19" xr:uid="{00000000-0002-0000-0200-000000000000}">
      <formula1>44927</formula1>
      <formula2>46752</formula2>
    </dataValidation>
    <dataValidation type="date" operator="lessThanOrEqual" allowBlank="1" showInputMessage="1" showErrorMessage="1" sqref="B44" xr:uid="{00000000-0002-0000-0200-000001000000}">
      <formula1>46752</formula1>
    </dataValidation>
    <dataValidation type="date" allowBlank="1" showInputMessage="1" showErrorMessage="1" errorTitle="Error" error="Please enter a valid date in the format dd/mm/yyyy." promptTitle="Note" sqref="B43" xr:uid="{00000000-0002-0000-0200-000002000000}">
      <formula1>44927</formula1>
      <formula2>46752</formula2>
    </dataValidation>
    <dataValidation allowBlank="1" showInputMessage="1" showErrorMessage="1" promptTitle="Note" prompt="Cash purchase price as per invoice_x000a__x000a_This amount should not include the amount of:_x000a_- GST (to be entered in B9) _x000a_- Term Charges/ HP interest (to be entered in B12)" sqref="B25" xr:uid="{00000000-0002-0000-0200-000003000000}"/>
    <dataValidation allowBlank="1" showInputMessage="1" showErrorMessage="1" promptTitle="Note" prompt="Enter non-qualifying costs included in the cash purchase price (B8). E.g. Government grant, subsidy, etc." sqref="B32" xr:uid="{00000000-0002-0000-0200-000004000000}"/>
    <dataValidation allowBlank="1" showInputMessage="1" showErrorMessage="1" promptTitle="Note" sqref="B34" xr:uid="{00000000-0002-0000-0200-000005000000}"/>
    <dataValidation allowBlank="1" showInputMessage="1" showErrorMessage="1" promptTitle="Note" prompt="Enter the qualifying costs for all other activities claimed for the YA, including:_x000a__x000a_1) Training_x000a_2) Innovation projects_x000a_3) IPR acquisition and registration_x000a_4) R&amp;D_x000a__x000a_(Exclude HP equipment for the YA)" sqref="B33" xr:uid="{00000000-0002-0000-0200-000006000000}"/>
  </dataValidations>
  <printOptions horizontalCentered="1"/>
  <pageMargins left="0.74803040244969399" right="0.74803040244969399" top="0.98425196850393704" bottom="0.98425196850393704" header="0.51180993000874897" footer="0.51180993000874897"/>
  <ignoredErrors>
    <ignoredError sqref="B11:B14 B43:B4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2"/>
  <sheetViews>
    <sheetView showGridLines="0" topLeftCell="A6" workbookViewId="0">
      <selection activeCell="B44" sqref="B44"/>
    </sheetView>
  </sheetViews>
  <sheetFormatPr defaultColWidth="10.83203125" defaultRowHeight="12.5" x14ac:dyDescent="0.25"/>
  <cols>
    <col min="1" max="1" width="46.08203125" style="64" customWidth="1"/>
    <col min="2" max="2" width="34" style="64" customWidth="1"/>
    <col min="3" max="3" width="4.33203125" style="64" customWidth="1"/>
    <col min="4" max="4" width="5" style="64" customWidth="1"/>
    <col min="5" max="5" width="25.5" style="179" customWidth="1"/>
    <col min="6" max="9" width="10.83203125" style="154" hidden="1" customWidth="1"/>
    <col min="10" max="10" width="57.5" style="179" customWidth="1"/>
    <col min="11" max="11" width="10.83203125" style="1"/>
    <col min="12" max="20" width="10.83203125" style="1" hidden="1" customWidth="1"/>
    <col min="21" max="21" width="31.33203125" style="1" hidden="1" customWidth="1"/>
    <col min="22" max="34" width="10.83203125" style="1" hidden="1" customWidth="1"/>
    <col min="35" max="35" width="10.83203125" style="1"/>
    <col min="36" max="16384" width="10.83203125" style="64"/>
  </cols>
  <sheetData>
    <row r="1" spans="1:22" ht="18.649999999999999" customHeight="1" thickBot="1" x14ac:dyDescent="0.35">
      <c r="A1" s="126" t="s">
        <v>101</v>
      </c>
      <c r="B1" s="127"/>
      <c r="C1" s="128"/>
      <c r="D1" s="63"/>
      <c r="E1" s="147" t="s">
        <v>101</v>
      </c>
      <c r="F1" s="148"/>
      <c r="G1" s="148"/>
      <c r="H1" s="148"/>
      <c r="I1" s="148"/>
      <c r="J1" s="149"/>
    </row>
    <row r="2" spans="1:22" ht="43.5" customHeight="1" thickBot="1" x14ac:dyDescent="0.35">
      <c r="A2" s="129"/>
      <c r="B2" s="130"/>
      <c r="C2" s="131"/>
      <c r="D2" s="63"/>
      <c r="E2" s="150"/>
      <c r="F2" s="151"/>
      <c r="G2" s="151"/>
      <c r="H2" s="151"/>
      <c r="I2" s="151"/>
      <c r="J2" s="152"/>
      <c r="L2" s="124" t="s">
        <v>2</v>
      </c>
      <c r="M2" s="122"/>
      <c r="N2" s="122" t="s">
        <v>4</v>
      </c>
      <c r="O2" s="123"/>
      <c r="R2" s="120" t="s">
        <v>0</v>
      </c>
      <c r="S2" s="121"/>
      <c r="U2" s="17" t="s">
        <v>6</v>
      </c>
      <c r="V2" s="18" t="e">
        <f>IF(B14="Y",(B25-B32-MAX(B29-B26,0))/B20,(B27-B32-B29)/B20)</f>
        <v>#DIV/0!</v>
      </c>
    </row>
    <row r="3" spans="1:22" ht="15" customHeight="1" thickBot="1" x14ac:dyDescent="0.35">
      <c r="A3" s="132" t="s">
        <v>97</v>
      </c>
      <c r="B3" s="133"/>
      <c r="C3" s="134"/>
      <c r="E3" s="153" t="s">
        <v>89</v>
      </c>
      <c r="J3" s="155"/>
      <c r="L3" s="19">
        <v>1</v>
      </c>
      <c r="M3" s="20">
        <v>1</v>
      </c>
      <c r="N3" s="20">
        <v>1</v>
      </c>
      <c r="O3" s="21">
        <v>3</v>
      </c>
      <c r="R3" s="22">
        <v>1</v>
      </c>
      <c r="S3" s="23"/>
      <c r="U3" s="24" t="s">
        <v>15</v>
      </c>
      <c r="V3" s="25">
        <f>IF(B14="Y",B25-B32,B27-B32)</f>
        <v>0</v>
      </c>
    </row>
    <row r="4" spans="1:22" ht="15" customHeight="1" thickBot="1" x14ac:dyDescent="0.35">
      <c r="A4" s="135"/>
      <c r="B4" s="136"/>
      <c r="C4" s="137"/>
      <c r="E4" s="156" t="s">
        <v>0</v>
      </c>
      <c r="F4" s="157" t="s">
        <v>2</v>
      </c>
      <c r="G4" s="158"/>
      <c r="H4" s="158"/>
      <c r="I4" s="159"/>
      <c r="J4" s="160" t="s">
        <v>78</v>
      </c>
      <c r="L4" s="19">
        <v>2</v>
      </c>
      <c r="M4" s="20">
        <v>1</v>
      </c>
      <c r="N4" s="20">
        <v>2</v>
      </c>
      <c r="O4" s="21">
        <v>2</v>
      </c>
      <c r="R4" s="22">
        <v>2</v>
      </c>
      <c r="S4" s="23" t="e">
        <f t="shared" ref="S4:S33" si="0">$E$6+MIN(R3,$B$20/12)</f>
        <v>#VALUE!</v>
      </c>
      <c r="U4" s="26" t="s">
        <v>7</v>
      </c>
      <c r="V4" s="27">
        <f>IF(B14="Y",MAX(B29-B26,0),B29)</f>
        <v>0</v>
      </c>
    </row>
    <row r="5" spans="1:22" ht="15" customHeight="1" thickBot="1" x14ac:dyDescent="0.3">
      <c r="A5" s="135"/>
      <c r="B5" s="136"/>
      <c r="C5" s="137"/>
      <c r="E5" s="161"/>
      <c r="F5" s="162">
        <v>1</v>
      </c>
      <c r="G5" s="162">
        <v>2</v>
      </c>
      <c r="H5" s="162">
        <v>3</v>
      </c>
      <c r="I5" s="162">
        <v>4</v>
      </c>
      <c r="J5" s="163"/>
      <c r="L5" s="19">
        <v>3</v>
      </c>
      <c r="M5" s="20">
        <v>1</v>
      </c>
      <c r="N5" s="20">
        <v>3</v>
      </c>
      <c r="O5" s="21">
        <v>1</v>
      </c>
      <c r="R5" s="22">
        <v>3</v>
      </c>
      <c r="S5" s="23" t="e">
        <f t="shared" si="0"/>
        <v>#VALUE!</v>
      </c>
    </row>
    <row r="6" spans="1:22" ht="15" customHeight="1" thickBot="1" x14ac:dyDescent="0.3">
      <c r="A6" s="135"/>
      <c r="B6" s="136"/>
      <c r="C6" s="137"/>
      <c r="E6" s="164" t="str">
        <f>IF(ISERROR(IF(YEAR(B19)+INDEX(W32:AH44,MATCH(MONTH(B19),V32:V44,0),MATCH(B13,W31:AH31,0))=1901,"",MIN(YEAR(B18)+INDEX(W32:AH44,MATCH(MONTH(B18),V32:V44,0),MATCH(B13,W31:AH31,0)),YEAR(B19)+INDEX(W32:AH44,MATCH(MONTH(B19),V32:V44,0),MATCH(B13,W31:AH31,0))))),"",IF(YEAR(B19)+INDEX(W32:AH44,MATCH(MONTH(B19),V32:V44,0),MATCH(B13,W31:AH31,0))=1901,"",MIN(YEAR(B18)+INDEX(W32:AH44,MATCH(MONTH(B18),V32:V44,0),MATCH(B13,W31:AH31,0)),YEAR(B19)+INDEX(W32:AH44,MATCH(MONTH(B19),V32:V44,0),MATCH(B13,W31:AH31,0)))))</f>
        <v/>
      </c>
      <c r="F6" s="165" t="str">
        <f>IF(ISERROR(ROUND(MIN(IF(AND($V$21=$E$6,$V$13=F5),$V$4,0)+IF(AND($V$17=$E$6,$V$8=F5),$V$2*M29,0),$B$36),0)),"",ROUND(MIN(IF(AND($V$21=$E$6,$V$13=F5),$V$4,0)+IF(AND($V$17=$E$6,$V$8=F5),$V$2*M29,0),$B$36),0))</f>
        <v/>
      </c>
      <c r="G6" s="165" t="str">
        <f>IF(ISERROR(ROUND(MIN(IF(AND($V$21=$E$6,$V$13=G5),$V$4,0)+IF(ISERROR(IF(AND($V$17=$E$6,$V$8=G5),$V$2*N29,0)),0,IF(AND($V$17=$E$6,$V$8=G5),$V$2*N29,0))+IF(AND($V$8&lt;G5,$V$17=$E$6),$V$2*3,0),$B$36-SUM($F$6:F6)),0)),"",ROUND(MIN(IF(AND($V$21=$E$6,$V$13=G5),$V$4,0)+IF(ISERROR(IF(AND($V$17=$E$6,$V$8=G5),$V$2*N29,0)),0,IF(AND($V$17=$E$6,$V$8=G5),$V$2*N29,0))+IF(AND($V$8&lt;G5,$V$17=$E$6),$V$2*3,0),$B$36-SUM($F$6:F6)),0))</f>
        <v/>
      </c>
      <c r="H6" s="165" t="str">
        <f>IF(ISERROR(ROUND(MIN(IF(AND($V$21=$E$6,$V$13=H5),$V$4,0)+IF(ISERROR(IF(AND($V$17=$E$6,$V$8=H5),$V$2*O29,0)),0,IF(AND($V$17=$E$6,$V$8=H5),$V$2*O29,0))+IF(AND($V$8&lt;H5,$V$17=$E$6),$V$2*3,0),$B$36-SUM($F$6:G6)),0)),"",ROUND(MIN(IF(AND($V$21=$E$6,$V$13=H5),$V$4,0)+IF(ISERROR(IF(AND($V$17=$E$6,$V$8=H5),$V$2*O29,0)),0,IF(AND($V$17=$E$6,$V$8=H5),$V$2*O29,0))+IF(AND($V$8&lt;H5,$V$17=$E$6),$V$2*3,0),$B$36-SUM($F$6:G6)),0))</f>
        <v/>
      </c>
      <c r="I6" s="165" t="str">
        <f>IF(ISERROR(ROUND(MIN(IF(AND($V$21=$E$6,$V$13=I5),$V$4,0)+IF(ISERROR(IF(AND($V$17=$E$6,$V$8=I5),$V$2*P29,0)),0,IF(AND($V$17=$E$6,$V$8=I5),$V$2*P29,0))+IF(AND($V$8&lt;I5,$V$17=$E$6),$V$2*3,0),$B$36-SUM($F$6:H6)),0)),"",ROUND(MIN(IF(AND($V$21=$E$6,$V$13=I5),$V$4,0)+IF(ISERROR(IF(AND($V$17=$E$6,$V$8=I5),$V$2*P29,0)),0,IF(AND($V$17=$E$6,$V$8=I5),$V$2*P29,0))+IF(AND($V$8&lt;I5,$V$17=$E$6),$V$2*3,0),$B$36-SUM($F$6:H6)),0))</f>
        <v/>
      </c>
      <c r="J6" s="166">
        <f>SUM(F6:I6)</f>
        <v>0</v>
      </c>
      <c r="L6" s="19">
        <v>4</v>
      </c>
      <c r="M6" s="20">
        <v>2</v>
      </c>
      <c r="N6" s="20">
        <v>4</v>
      </c>
      <c r="O6" s="21">
        <v>3</v>
      </c>
      <c r="R6" s="22">
        <v>4</v>
      </c>
      <c r="S6" s="23" t="e">
        <f t="shared" si="0"/>
        <v>#VALUE!</v>
      </c>
      <c r="U6" s="1" t="s">
        <v>31</v>
      </c>
    </row>
    <row r="7" spans="1:22" ht="15" customHeight="1" x14ac:dyDescent="0.3">
      <c r="A7" s="135"/>
      <c r="B7" s="136"/>
      <c r="C7" s="137"/>
      <c r="E7" s="167" t="str">
        <f>IF(ISERROR(IF(AND(F7="",F7=0,G7="",G7=0,H7="",H7=0,I7="",I7=0),"",IF($V$17=$V$21,E6+1,IF($V$21&gt;$V$17,$V$17+1,$V$17)))),"",IF(AND(F7="",F7=0,G7="",G7=0,H7="",H7=0,I7="",I7=0),"",IF($V$17=$V$21,E6+1,IF($V$21&gt;$V$17,$V$17+1,$V$17))))</f>
        <v/>
      </c>
      <c r="F7" s="168" t="str">
        <f>IF(ISERROR(IF(ROUND(MIN(IF($V$17&lt;&gt;$E$6,IF($V$8=F5,$V$2*M29,0),$V$2*3),$B$36-SUM($J$6:$J6)),0)&lt;0,0,ROUND(MIN(IF($V$17&lt;&gt;$E$6,IF($V$8=F5,$V$2*M29,0),$V$2*3),$B$36-SUM($J$6:$J6)),0))),"",IF(ROUND(MIN(IF($V$17&lt;&gt;$E$6,IF($V$8=F5,$V$2*M29,0),$V$2*3),$B$36-SUM($J$6:$J6)),0)&lt;0,0,ROUND(MIN(IF($V$17&lt;&gt;$E$6,IF($V$8=F5,$V$2*M29,0),$V$2*3),$B$36-SUM($J$6:$J6)),0)))</f>
        <v/>
      </c>
      <c r="G7" s="168" t="str">
        <f>IF(ISERROR(IF(ROUND(MIN(IF($V$17&lt;&gt;$E$6,IF($V$8=F5,$V$2*M29,0),$V$2*3),$B$36-SUM($J$6:$J6)),0)&lt;0,0,ROUND(MIN(IF($V$17&lt;&gt;$E$6,IF($V$8=G5,$V$2*N29,0)+IF($V$8&lt;G5,$V$2*3,0),$V$2*3),$B$36-SUM($J$6:$J6)-SUM($F$7:F7)),0))),"",IF(ROUND(MIN(IF($V$17&lt;&gt;$E$6,IF($V$8=F5,$V$2*M29,0),$V$2*3),$B$36-SUM($J$6:$J6)),0)&lt;0,0,ROUND(MIN(IF($V$17&lt;&gt;$E$6,IF($V$8=G5,$V$2*N29,0)+IF($V$8&lt;G5,$V$2*3,0),$V$2*3),$B$36-SUM($J$6:$J6)-SUM($F$7:F7)),0)))</f>
        <v/>
      </c>
      <c r="H7" s="168" t="str">
        <f>IF(ISERROR(IF(ROUND(MIN(IF($V$17&lt;&gt;$E$6,IF($V$8=F5,$V$2*M29,0),$V$2*3),$B$36-SUM($J$6:$J6)),0)&lt;0,0,ROUND(MIN(IF($V$17&lt;&gt;$E$6,IF($V$8=H5,$V$2*O29,0)+IF($V$8&lt;H5,$V$2*3,0),$V$2*3),$B$36-SUM($J$6:$J6)-SUM($F$7:G7)),0))),"",IF(ROUND(MIN(IF($V$17&lt;&gt;$E$6,IF($V$8=F5,$V$2*M29,0),$V$2*3),$B$36-SUM($J$6:$J6)),0)&lt;0,0,ROUND(MIN(IF($V$17&lt;&gt;$E$6,IF($V$8=H5,$V$2*O29,0)+IF($V$8&lt;H5,$V$2*3,0),$V$2*3),$B$36-SUM($J$6:$J6)-SUM($F$7:G7)),0)))</f>
        <v/>
      </c>
      <c r="I7" s="168" t="str">
        <f>IF(ISERROR(IF(ROUND(MIN(IF($V$17&lt;&gt;$E$6,IF($V$8=F5,$V$2*M29,0),$V$2*3),$B$36-SUM($J$6:$J6)),0)&lt;0,0,ROUND(MIN(IF($V$17&lt;&gt;$E$6,IF($V$8=I5,$V$2*P29,0)+IF($V$8&lt;I5,$V$2*3,0),$V$2*3),$B$36-SUM($J$6:$J6)-SUM($F$7:H7)),0))),"",IF(ROUND(MIN(IF($V$17&lt;&gt;$E$6,IF($V$8=F5,$V$2*M29,0),$V$2*3),$B$36-SUM($J$6:$J6)),0)&lt;0,0,ROUND(MIN(IF($V$17&lt;&gt;$E$6,IF($V$8=I5,$V$2*P29,0)+IF($V$8&lt;I5,$V$2*3,0),$V$2*3),$B$36-SUM($J$6:$J6)-SUM($F$7:H7)),0)))</f>
        <v/>
      </c>
      <c r="J7" s="169" t="str">
        <f t="shared" ref="J7:J37" si="1">IF(E7="","",SUM(F7:I7))</f>
        <v/>
      </c>
      <c r="L7" s="19">
        <v>5</v>
      </c>
      <c r="M7" s="20">
        <v>2</v>
      </c>
      <c r="N7" s="20">
        <v>5</v>
      </c>
      <c r="O7" s="21">
        <v>2</v>
      </c>
      <c r="R7" s="22">
        <v>5</v>
      </c>
      <c r="S7" s="23" t="e">
        <f t="shared" si="0"/>
        <v>#VALUE!</v>
      </c>
      <c r="U7" s="17" t="s">
        <v>3</v>
      </c>
      <c r="V7" s="28">
        <f>(YEAR($B$19)-YEAR(DATE(YEAR($B$19)-1,MONTH($B$13),DAY($B$13))))*12+MONTH($B$19)-MONTH(DATE(YEAR($B$19)-1,MONTH($B$13),DAY($B$13)))</f>
        <v>-22787</v>
      </c>
    </row>
    <row r="8" spans="1:22" ht="15" customHeight="1" x14ac:dyDescent="0.3">
      <c r="A8" s="135"/>
      <c r="B8" s="136"/>
      <c r="C8" s="137"/>
      <c r="E8" s="167" t="str">
        <f t="shared" ref="E8:E37" si="2">IF(OR(F8="",F8=0),"",E7+1)</f>
        <v/>
      </c>
      <c r="F8" s="168" t="str">
        <f>IF(OR(I7="",I7=0),"",IF(ROUND(MIN($V$2*3,$B$36-SUM($J$6:$J7)),0)&lt;0,0,ROUND(MIN($V$2*3,$B$36-SUM($J$6:$J7)),0)))</f>
        <v/>
      </c>
      <c r="G8" s="168" t="str">
        <f>IF(OR(F8="",F8=0),"",IF(ROUND(MIN($V$2*3,$B$36-SUM($J$6:$J7)-SUM($F8:F8)),0)&lt;0,0,ROUND(MIN($V$2*3,$B$36-SUM($J$6:$J7)-SUM($F8:F8)),0)))</f>
        <v/>
      </c>
      <c r="H8" s="168" t="str">
        <f>IF(OR(G8="",G8=0),"",IF(ROUND(MIN($V$2*3,$B$36-SUM($J$6:$J7)-SUM($F8:G8)),0)&lt;0,0,ROUND(MIN($V$2*3,$B$36-SUM($J$6:$J7)-SUM($F8:G8)),0)))</f>
        <v/>
      </c>
      <c r="I8" s="168" t="str">
        <f>IF(OR(H8="",H8=0),"",IF(ROUND(MIN($V$2*3,$B$36-SUM($J$6:$J7)-SUM($F8:H8)),0)&lt;0,0,ROUND(MIN($V$2*3,$B$36-SUM($J$6:$J7)-SUM($F8:H8)),0)))</f>
        <v/>
      </c>
      <c r="J8" s="169" t="str">
        <f t="shared" si="1"/>
        <v/>
      </c>
      <c r="L8" s="19">
        <v>6</v>
      </c>
      <c r="M8" s="20">
        <v>2</v>
      </c>
      <c r="N8" s="20">
        <v>6</v>
      </c>
      <c r="O8" s="21">
        <v>1</v>
      </c>
      <c r="R8" s="22">
        <v>6</v>
      </c>
      <c r="S8" s="23" t="e">
        <f t="shared" si="0"/>
        <v>#VALUE!</v>
      </c>
      <c r="U8" s="24" t="s">
        <v>2</v>
      </c>
      <c r="V8" s="23" t="e">
        <f>LOOKUP(V7,$L$3:$L$26,$M$3:$M$26)</f>
        <v>#N/A</v>
      </c>
    </row>
    <row r="9" spans="1:22" ht="15" customHeight="1" thickBot="1" x14ac:dyDescent="0.35">
      <c r="A9" s="138"/>
      <c r="B9" s="139"/>
      <c r="C9" s="140"/>
      <c r="E9" s="167" t="str">
        <f t="shared" si="2"/>
        <v/>
      </c>
      <c r="F9" s="168" t="str">
        <f>IF(OR(I8="",I8=0),"",IF(ROUND(MIN($V$2*3,$B$36-SUM($J$6:$J8)),0)&lt;0,0,ROUND(MIN($V$2*3,$B$36-SUM($J$6:$J8)),0)))</f>
        <v/>
      </c>
      <c r="G9" s="168" t="str">
        <f>IF(OR(F9="",F9=0),"",IF(ROUND(MIN($V$2*3,$B$36-SUM($J$6:$J8)-SUM($F9:F9)),0)&lt;0,0,ROUND(MIN($V$2*3,$B$36-SUM($J$6:$J8)-SUM($F9:F9)),0)))</f>
        <v/>
      </c>
      <c r="H9" s="168" t="str">
        <f>IF(OR(G9="",G9=0),"",IF(ROUND(MIN($V$2*3,$B$36-SUM($J$6:$J8)-SUM($F9:G9)),0)&lt;0,0,ROUND(MIN($V$2*3,$B$36-SUM($J$6:$J8)-SUM($F9:G9)),0)))</f>
        <v/>
      </c>
      <c r="I9" s="168" t="str">
        <f>IF(OR(H9="",H9=0),"",IF(ROUND(MIN($V$2*3,$B$36-SUM($J$6:$J8)-SUM($F9:H9)),0)&lt;0,0,ROUND(MIN($V$2*3,$B$36-SUM($J$6:$J8)-SUM($F9:H9)),0)))</f>
        <v/>
      </c>
      <c r="J9" s="169" t="str">
        <f t="shared" si="1"/>
        <v/>
      </c>
      <c r="L9" s="19">
        <v>7</v>
      </c>
      <c r="M9" s="20">
        <v>3</v>
      </c>
      <c r="N9" s="20">
        <v>7</v>
      </c>
      <c r="O9" s="21">
        <v>3</v>
      </c>
      <c r="P9" s="29"/>
      <c r="Q9" s="29"/>
      <c r="R9" s="22">
        <v>7</v>
      </c>
      <c r="S9" s="23" t="e">
        <f t="shared" si="0"/>
        <v>#VALUE!</v>
      </c>
      <c r="U9" s="30" t="s">
        <v>9</v>
      </c>
      <c r="V9" s="31">
        <f>DATE(YEAR($B$43),MONTH($B$13),DAY($B$13))</f>
        <v>0</v>
      </c>
    </row>
    <row r="10" spans="1:22" ht="12.75" customHeight="1" thickBot="1" x14ac:dyDescent="0.35">
      <c r="A10" s="65" t="s">
        <v>62</v>
      </c>
      <c r="B10" s="66"/>
      <c r="C10" s="67"/>
      <c r="E10" s="167" t="str">
        <f t="shared" si="2"/>
        <v/>
      </c>
      <c r="F10" s="168" t="str">
        <f>IF(OR(I9="",I9=0),"",IF(ROUND(MIN($V$2*3,$B$36-SUM($J$6:$J9)),0)&lt;0,0,ROUND(MIN($V$2*3,$B$36-SUM($J$6:$J9)),0)))</f>
        <v/>
      </c>
      <c r="G10" s="168" t="str">
        <f>IF(OR(F10="",F10=0),"",IF(ROUND(MIN($V$2*3,$B$36-SUM($J$6:$J9)-SUM($F10:F10)),0)&lt;0,0,ROUND(MIN($V$2*3,$B$36-SUM($J$6:$J9)-SUM($F10:F10)),0)))</f>
        <v/>
      </c>
      <c r="H10" s="168" t="str">
        <f>IF(OR(G10="",G10=0),"",IF(ROUND(MIN($V$2*3,$B$36-SUM($J$6:$J9)-SUM($F10:G10)),0)&lt;0,0,ROUND(MIN($V$2*3,$B$36-SUM($J$6:$J9)-SUM($F10:G10)),0)))</f>
        <v/>
      </c>
      <c r="I10" s="168" t="str">
        <f>IF(OR(H10="",H10=0),"",IF(ROUND(MIN($V$2*3,$B$36-SUM($J$6:$J9)-SUM($F10:H10)),0)&lt;0,0,ROUND(MIN($V$2*3,$B$36-SUM($J$6:$J9)-SUM($F10:H10)),0)))</f>
        <v/>
      </c>
      <c r="J10" s="169" t="str">
        <f t="shared" si="1"/>
        <v/>
      </c>
      <c r="L10" s="19">
        <v>8</v>
      </c>
      <c r="M10" s="20">
        <v>3</v>
      </c>
      <c r="N10" s="20">
        <v>8</v>
      </c>
      <c r="O10" s="21">
        <v>2</v>
      </c>
      <c r="R10" s="22">
        <v>8</v>
      </c>
      <c r="S10" s="23" t="e">
        <f t="shared" si="0"/>
        <v>#VALUE!</v>
      </c>
      <c r="U10" s="32"/>
    </row>
    <row r="11" spans="1:22" ht="12.75" customHeight="1" thickBot="1" x14ac:dyDescent="0.3">
      <c r="A11" s="68" t="s">
        <v>12</v>
      </c>
      <c r="B11" s="3">
        <f>'IA IPRs 1'!B11</f>
        <v>0</v>
      </c>
      <c r="C11" s="69"/>
      <c r="E11" s="167" t="str">
        <f t="shared" si="2"/>
        <v/>
      </c>
      <c r="F11" s="168" t="str">
        <f>IF(OR(I10="",I10=0),"",IF(ROUND(MIN($V$2*3,$B$36-SUM($J$6:$J10)),0)&lt;0,0,ROUND(MIN($V$2*3,$B$36-SUM($J$6:$J10)),0)))</f>
        <v/>
      </c>
      <c r="G11" s="168" t="str">
        <f>IF(OR(F11="",F11=0),"",IF(ROUND(MIN($V$2*3,$B$36-SUM($J$6:$J10)-SUM($F11:F11)),0)&lt;0,0,ROUND(MIN($V$2*3,$B$36-SUM($J$6:$J10)-SUM($F11:F11)),0)))</f>
        <v/>
      </c>
      <c r="H11" s="168" t="str">
        <f>IF(OR(G11="",G11=0),"",IF(ROUND(MIN($V$2*3,$B$36-SUM($J$6:$J10)-SUM($F11:G11)),0)&lt;0,0,ROUND(MIN($V$2*3,$B$36-SUM($J$6:$J10)-SUM($F11:G11)),0)))</f>
        <v/>
      </c>
      <c r="I11" s="168" t="str">
        <f>IF(OR(H11="",H11=0),"",IF(ROUND(MIN($V$2*3,$B$36-SUM($J$6:$J10)-SUM($F11:H11)),0)&lt;0,0,ROUND(MIN($V$2*3,$B$36-SUM($J$6:$J10)-SUM($F11:H11)),0)))</f>
        <v/>
      </c>
      <c r="J11" s="169" t="str">
        <f t="shared" si="1"/>
        <v/>
      </c>
      <c r="L11" s="19">
        <v>9</v>
      </c>
      <c r="M11" s="20">
        <v>3</v>
      </c>
      <c r="N11" s="20">
        <v>9</v>
      </c>
      <c r="O11" s="21">
        <v>1</v>
      </c>
      <c r="R11" s="22">
        <v>9</v>
      </c>
      <c r="S11" s="23" t="e">
        <f t="shared" si="0"/>
        <v>#VALUE!</v>
      </c>
      <c r="U11" s="1" t="s">
        <v>30</v>
      </c>
    </row>
    <row r="12" spans="1:22" ht="12.75" customHeight="1" x14ac:dyDescent="0.3">
      <c r="A12" s="68" t="s">
        <v>13</v>
      </c>
      <c r="B12" s="3">
        <f>'IA IPRs 1'!B12</f>
        <v>0</v>
      </c>
      <c r="C12" s="69"/>
      <c r="E12" s="167" t="str">
        <f t="shared" si="2"/>
        <v/>
      </c>
      <c r="F12" s="168" t="str">
        <f>IF(OR(I11="",I11=0),"",IF(ROUND(MIN($V$2*3,$B$36-SUM($J$6:$J11)),0)&lt;0,0,ROUND(MIN($V$2*3,$B$36-SUM($J$6:$J11)),0)))</f>
        <v/>
      </c>
      <c r="G12" s="168" t="str">
        <f>IF(OR(F12="",F12=0),"",IF(ROUND(MIN($V$2*3,$B$36-SUM($J$6:$J11)-SUM($F12:F12)),0)&lt;0,0,ROUND(MIN($V$2*3,$B$36-SUM($J$6:$J11)-SUM($F12:F12)),0)))</f>
        <v/>
      </c>
      <c r="H12" s="168" t="str">
        <f>IF(OR(G12="",G12=0),"",IF(ROUND(MIN($V$2*3,$B$36-SUM($J$6:$J11)-SUM($F12:G12)),0)&lt;0,0,ROUND(MIN($V$2*3,$B$36-SUM($J$6:$J11)-SUM($F12:G12)),0)))</f>
        <v/>
      </c>
      <c r="I12" s="168" t="str">
        <f>IF(OR(H12="",H12=0),"",IF(ROUND(MIN($V$2*3,$B$36-SUM($J$6:$J11)-SUM($F12:H12)),0)&lt;0,0,ROUND(MIN($V$2*3,$B$36-SUM($J$6:$J11)-SUM($F12:H12)),0)))</f>
        <v/>
      </c>
      <c r="J12" s="169" t="str">
        <f t="shared" si="1"/>
        <v/>
      </c>
      <c r="L12" s="19">
        <v>10</v>
      </c>
      <c r="M12" s="20">
        <v>4</v>
      </c>
      <c r="N12" s="20">
        <v>10</v>
      </c>
      <c r="O12" s="21">
        <v>3</v>
      </c>
      <c r="P12" s="29"/>
      <c r="Q12" s="29"/>
      <c r="R12" s="22">
        <v>10</v>
      </c>
      <c r="S12" s="23" t="e">
        <f t="shared" si="0"/>
        <v>#VALUE!</v>
      </c>
      <c r="U12" s="17" t="s">
        <v>3</v>
      </c>
      <c r="V12" s="28">
        <f>(YEAR($B$18)-YEAR(DATE(YEAR($B$18)-1,MONTH($B$13),DAY($B$13))))*12+MONTH($B$18)-MONTH(DATE(YEAR($B$18)-1,MONTH($B$13),DAY($B$13)))</f>
        <v>-22787</v>
      </c>
    </row>
    <row r="13" spans="1:22" ht="12.75" customHeight="1" x14ac:dyDescent="0.3">
      <c r="A13" s="68" t="s">
        <v>14</v>
      </c>
      <c r="B13" s="15">
        <f>'IA IPRs 1'!B13</f>
        <v>0</v>
      </c>
      <c r="C13" s="69"/>
      <c r="E13" s="167" t="str">
        <f t="shared" si="2"/>
        <v/>
      </c>
      <c r="F13" s="168" t="str">
        <f>IF(OR(I12="",I12=0),"",IF(ROUND(MIN($V$2*3,$B$36-SUM($J$6:$J12)),0)&lt;0,0,ROUND(MIN($V$2*3,$B$36-SUM($J$6:$J12)),0)))</f>
        <v/>
      </c>
      <c r="G13" s="168" t="str">
        <f>IF(OR(F13="",F13=0),"",IF(ROUND(MIN($V$2*3,$B$36-SUM($J$6:$J12)-SUM($F13:F13)),0)&lt;0,0,ROUND(MIN($V$2*3,$B$36-SUM($J$6:$J12)-SUM($F13:F13)),0)))</f>
        <v/>
      </c>
      <c r="H13" s="168" t="str">
        <f>IF(OR(G13="",G13=0),"",IF(ROUND(MIN($V$2*3,$B$36-SUM($J$6:$J12)-SUM($F13:G13)),0)&lt;0,0,ROUND(MIN($V$2*3,$B$36-SUM($J$6:$J12)-SUM($F13:G13)),0)))</f>
        <v/>
      </c>
      <c r="I13" s="168" t="str">
        <f>IF(OR(H13="",H13=0),"",IF(ROUND(MIN($V$2*3,$B$36-SUM($J$6:$J12)-SUM($F13:H13)),0)&lt;0,0,ROUND(MIN($V$2*3,$B$36-SUM($J$6:$J12)-SUM($F13:H13)),0)))</f>
        <v/>
      </c>
      <c r="J13" s="169" t="str">
        <f t="shared" si="1"/>
        <v/>
      </c>
      <c r="L13" s="19">
        <v>11</v>
      </c>
      <c r="M13" s="20">
        <v>4</v>
      </c>
      <c r="N13" s="20">
        <v>11</v>
      </c>
      <c r="O13" s="21">
        <v>2</v>
      </c>
      <c r="P13" s="29"/>
      <c r="Q13" s="29"/>
      <c r="R13" s="22">
        <v>11</v>
      </c>
      <c r="S13" s="23" t="e">
        <f t="shared" si="0"/>
        <v>#VALUE!</v>
      </c>
      <c r="U13" s="24" t="s">
        <v>2</v>
      </c>
      <c r="V13" s="23" t="e">
        <f>LOOKUP(V12,$L$3:$L$26,$M$3:$M$26)</f>
        <v>#N/A</v>
      </c>
    </row>
    <row r="14" spans="1:22" ht="12.75" customHeight="1" thickBot="1" x14ac:dyDescent="0.35">
      <c r="A14" s="68" t="s">
        <v>28</v>
      </c>
      <c r="B14" s="3">
        <f>'IA IPRs 1'!B14</f>
        <v>0</v>
      </c>
      <c r="C14" s="69"/>
      <c r="E14" s="167" t="str">
        <f t="shared" si="2"/>
        <v/>
      </c>
      <c r="F14" s="168" t="str">
        <f>IF(OR(I13="",I13=0),"",IF(ROUND(MIN($V$2*3,$B$36-SUM($J$6:$J13)),0)&lt;0,0,ROUND(MIN($V$2*3,$B$36-SUM($J$6:$J13)),0)))</f>
        <v/>
      </c>
      <c r="G14" s="168" t="str">
        <f>IF(OR(F14="",F14=0),"",IF(ROUND(MIN($V$2*3,$B$36-SUM($J$6:$J13)-SUM($F14:F14)),0)&lt;0,0,ROUND(MIN($V$2*3,$B$36-SUM($J$6:$J13)-SUM($F14:F14)),0)))</f>
        <v/>
      </c>
      <c r="H14" s="168" t="str">
        <f>IF(OR(G14="",G14=0),"",IF(ROUND(MIN($V$2*3,$B$36-SUM($J$6:$J13)-SUM($F14:G14)),0)&lt;0,0,ROUND(MIN($V$2*3,$B$36-SUM($J$6:$J13)-SUM($F14:G14)),0)))</f>
        <v/>
      </c>
      <c r="I14" s="168" t="str">
        <f>IF(OR(H14="",H14=0),"",IF(ROUND(MIN($V$2*3,$B$36-SUM($J$6:$J13)-SUM($F14:H14)),0)&lt;0,0,ROUND(MIN($V$2*3,$B$36-SUM($J$6:$J13)-SUM($F14:H14)),0)))</f>
        <v/>
      </c>
      <c r="J14" s="169" t="str">
        <f t="shared" si="1"/>
        <v/>
      </c>
      <c r="L14" s="19">
        <v>12</v>
      </c>
      <c r="M14" s="20">
        <v>4</v>
      </c>
      <c r="N14" s="20">
        <v>12</v>
      </c>
      <c r="O14" s="21">
        <v>1</v>
      </c>
      <c r="R14" s="22">
        <v>12</v>
      </c>
      <c r="S14" s="23" t="e">
        <f t="shared" si="0"/>
        <v>#VALUE!</v>
      </c>
      <c r="U14" s="30" t="s">
        <v>9</v>
      </c>
      <c r="V14" s="31">
        <f>DATE(YEAR($B$43),MONTH($B$13),DAY($B$13))</f>
        <v>0</v>
      </c>
    </row>
    <row r="15" spans="1:22" ht="12.75" customHeight="1" thickBot="1" x14ac:dyDescent="0.3">
      <c r="A15" s="68"/>
      <c r="B15" s="70"/>
      <c r="C15" s="69"/>
      <c r="E15" s="167" t="str">
        <f t="shared" si="2"/>
        <v/>
      </c>
      <c r="F15" s="168" t="str">
        <f>IF(OR(I14="",I14=0),"",IF(ROUND(MIN($V$2*3,$B$36-SUM($J$6:$J14)),0)&lt;0,0,ROUND(MIN($V$2*3,$B$36-SUM($J$6:$J14)),0)))</f>
        <v/>
      </c>
      <c r="G15" s="168" t="str">
        <f>IF(OR(F15="",F15=0),"",IF(ROUND(MIN($V$2*3,$B$36-SUM($J$6:$J14)-SUM($F15:F15)),0)&lt;0,0,ROUND(MIN($V$2*3,$B$36-SUM($J$6:$J14)-SUM($F15:F15)),0)))</f>
        <v/>
      </c>
      <c r="H15" s="168" t="str">
        <f>IF(OR(G15="",G15=0),"",IF(ROUND(MIN($V$2*3,$B$36-SUM($J$6:$J14)-SUM($F15:G15)),0)&lt;0,0,ROUND(MIN($V$2*3,$B$36-SUM($J$6:$J14)-SUM($F15:G15)),0)))</f>
        <v/>
      </c>
      <c r="I15" s="168" t="str">
        <f>IF(OR(H15="",H15=0),"",IF(ROUND(MIN($V$2*3,$B$36-SUM($J$6:$J14)-SUM($F15:H15)),0)&lt;0,0,ROUND(MIN($V$2*3,$B$36-SUM($J$6:$J14)-SUM($F15:H15)),0)))</f>
        <v/>
      </c>
      <c r="J15" s="169" t="str">
        <f t="shared" si="1"/>
        <v/>
      </c>
      <c r="L15" s="19">
        <v>13</v>
      </c>
      <c r="M15" s="20">
        <v>1</v>
      </c>
      <c r="N15" s="20">
        <v>13</v>
      </c>
      <c r="O15" s="21">
        <v>3</v>
      </c>
      <c r="R15" s="22">
        <v>13</v>
      </c>
      <c r="S15" s="23" t="e">
        <f t="shared" si="0"/>
        <v>#VALUE!</v>
      </c>
    </row>
    <row r="16" spans="1:22" ht="13.5" thickBot="1" x14ac:dyDescent="0.3">
      <c r="A16" s="65" t="s">
        <v>70</v>
      </c>
      <c r="B16" s="71"/>
      <c r="C16" s="67"/>
      <c r="E16" s="167" t="str">
        <f t="shared" si="2"/>
        <v/>
      </c>
      <c r="F16" s="168" t="str">
        <f>IF(OR(I15="",I15=0),"",IF(ROUND(MIN($V$2*3,$B$36-SUM($J$6:$J15)),0)&lt;0,0,ROUND(MIN($V$2*3,$B$36-SUM($J$6:$J15)),0)))</f>
        <v/>
      </c>
      <c r="G16" s="168" t="str">
        <f>IF(OR(F16="",F16=0),"",IF(ROUND(MIN($V$2*3,$B$36-SUM($J$6:$J15)-SUM($F16:F16)),0)&lt;0,0,ROUND(MIN($V$2*3,$B$36-SUM($J$6:$J15)-SUM($F16:F16)),0)))</f>
        <v/>
      </c>
      <c r="H16" s="168" t="str">
        <f>IF(OR(G16="",G16=0),"",IF(ROUND(MIN($V$2*3,$B$36-SUM($J$6:$J15)-SUM($F16:G16)),0)&lt;0,0,ROUND(MIN($V$2*3,$B$36-SUM($J$6:$J15)-SUM($F16:G16)),0)))</f>
        <v/>
      </c>
      <c r="I16" s="168" t="str">
        <f>IF(OR(H16="",H16=0),"",IF(ROUND(MIN($V$2*3,$B$36-SUM($J$6:$J15)-SUM($F16:H16)),0)&lt;0,0,ROUND(MIN($V$2*3,$B$36-SUM($J$6:$J15)-SUM($F16:H16)),0)))</f>
        <v/>
      </c>
      <c r="J16" s="169" t="str">
        <f t="shared" si="1"/>
        <v/>
      </c>
      <c r="L16" s="19">
        <v>14</v>
      </c>
      <c r="M16" s="20">
        <v>1</v>
      </c>
      <c r="N16" s="20">
        <v>14</v>
      </c>
      <c r="O16" s="21">
        <v>2</v>
      </c>
      <c r="R16" s="22">
        <v>14</v>
      </c>
      <c r="S16" s="23" t="e">
        <f t="shared" si="0"/>
        <v>#VALUE!</v>
      </c>
      <c r="U16" s="1" t="s">
        <v>31</v>
      </c>
    </row>
    <row r="17" spans="1:34" ht="12" customHeight="1" x14ac:dyDescent="0.3">
      <c r="A17" s="68" t="s">
        <v>67</v>
      </c>
      <c r="B17" s="3"/>
      <c r="C17" s="69"/>
      <c r="E17" s="167" t="str">
        <f t="shared" si="2"/>
        <v/>
      </c>
      <c r="F17" s="168" t="str">
        <f>IF(OR(I16="",I16=0),"",IF(ROUND(MIN($V$2*3,$B$36-SUM($J$6:$J16)),0)&lt;0,0,ROUND(MIN($V$2*3,$B$36-SUM($J$6:$J16)),0)))</f>
        <v/>
      </c>
      <c r="G17" s="168" t="str">
        <f>IF(OR(F17="",F17=0),"",IF(ROUND(MIN($V$2*3,$B$36-SUM($J$6:$J16)-SUM($F17:F17)),0)&lt;0,0,ROUND(MIN($V$2*3,$B$36-SUM($J$6:$J16)-SUM($F17:F17)),0)))</f>
        <v/>
      </c>
      <c r="H17" s="168" t="str">
        <f>IF(OR(G17="",G17=0),"",IF(ROUND(MIN($V$2*3,$B$36-SUM($J$6:$J16)-SUM($F17:G17)),0)&lt;0,0,ROUND(MIN($V$2*3,$B$36-SUM($J$6:$J16)-SUM($F17:G17)),0)))</f>
        <v/>
      </c>
      <c r="I17" s="168" t="str">
        <f>IF(OR(H17="",H17=0),"",IF(ROUND(MIN($V$2*3,$B$36-SUM($J$6:$J16)-SUM($F17:H17)),0)&lt;0,0,ROUND(MIN($V$2*3,$B$36-SUM($J$6:$J16)-SUM($F17:H17)),0)))</f>
        <v/>
      </c>
      <c r="J17" s="169" t="str">
        <f t="shared" si="1"/>
        <v/>
      </c>
      <c r="L17" s="19">
        <v>15</v>
      </c>
      <c r="M17" s="20">
        <v>1</v>
      </c>
      <c r="N17" s="20">
        <v>15</v>
      </c>
      <c r="O17" s="21">
        <v>1</v>
      </c>
      <c r="R17" s="22">
        <v>15</v>
      </c>
      <c r="S17" s="23" t="e">
        <f t="shared" si="0"/>
        <v>#VALUE!</v>
      </c>
      <c r="U17" s="33" t="s">
        <v>0</v>
      </c>
      <c r="V17" s="34">
        <f>IF(ISERROR(IF(B19&gt;V18,YEAR(V18)+2,YEAR(V18)+1)),"Please enter the correct relevant period",IF(B19&gt;V18,YEAR(V18)+2,YEAR(V18)+1))</f>
        <v>1901</v>
      </c>
    </row>
    <row r="18" spans="1:34" ht="12" customHeight="1" thickBot="1" x14ac:dyDescent="0.35">
      <c r="A18" s="72" t="s">
        <v>71</v>
      </c>
      <c r="B18" s="14"/>
      <c r="C18" s="69"/>
      <c r="E18" s="167" t="str">
        <f t="shared" si="2"/>
        <v/>
      </c>
      <c r="F18" s="168" t="str">
        <f>IF(OR(I17="",I17=0),"",IF(ROUND(MIN($V$2*3,$B$36-SUM($J$6:$J17)),0)&lt;0,0,ROUND(MIN($V$2*3,$B$36-SUM($J$6:$J17)),0)))</f>
        <v/>
      </c>
      <c r="G18" s="168" t="str">
        <f>IF(OR(F18="",F18=0),"",IF(ROUND(MIN($V$2*3,$B$36-SUM($J$6:$J17)-SUM($F18:F18)),0)&lt;0,0,ROUND(MIN($V$2*3,$B$36-SUM($J$6:$J17)-SUM($F18:F18)),0)))</f>
        <v/>
      </c>
      <c r="H18" s="168" t="str">
        <f>IF(OR(G18="",G18=0),"",IF(ROUND(MIN($V$2*3,$B$36-SUM($J$6:$J17)-SUM($F18:G18)),0)&lt;0,0,ROUND(MIN($V$2*3,$B$36-SUM($J$6:$J17)-SUM($F18:G18)),0)))</f>
        <v/>
      </c>
      <c r="I18" s="168" t="str">
        <f>IF(OR(H18="",H18=0),"",IF(ROUND(MIN($V$2*3,$B$36-SUM($J$6:$J17)-SUM($F18:H18)),0)&lt;0,0,ROUND(MIN($V$2*3,$B$36-SUM($J$6:$J17)-SUM($F18:H18)),0)))</f>
        <v/>
      </c>
      <c r="J18" s="169" t="str">
        <f t="shared" si="1"/>
        <v/>
      </c>
      <c r="L18" s="19">
        <v>16</v>
      </c>
      <c r="M18" s="20">
        <v>2</v>
      </c>
      <c r="N18" s="20">
        <v>16</v>
      </c>
      <c r="O18" s="21">
        <v>3</v>
      </c>
      <c r="R18" s="22">
        <v>16</v>
      </c>
      <c r="S18" s="23" t="e">
        <f t="shared" si="0"/>
        <v>#VALUE!</v>
      </c>
      <c r="U18" s="30" t="s">
        <v>9</v>
      </c>
      <c r="V18" s="31">
        <f>DATE(YEAR($B$19),MONTH($B$13),DAY($B$13))</f>
        <v>0</v>
      </c>
    </row>
    <row r="19" spans="1:34" ht="12" customHeight="1" x14ac:dyDescent="0.25">
      <c r="A19" s="68" t="s">
        <v>63</v>
      </c>
      <c r="B19" s="14"/>
      <c r="C19" s="69"/>
      <c r="E19" s="167" t="str">
        <f t="shared" si="2"/>
        <v/>
      </c>
      <c r="F19" s="168" t="str">
        <f>IF(OR(I18="",I18=0),"",IF(ROUND(MIN($V$2*3,$B$36-SUM($J$6:$J18)),0)&lt;0,0,ROUND(MIN($V$2*3,$B$36-SUM($J$6:$J18)),0)))</f>
        <v/>
      </c>
      <c r="G19" s="168" t="str">
        <f>IF(OR(F19="",F19=0),"",IF(ROUND(MIN($V$2*3,$B$36-SUM($J$6:$J18)-SUM($F19:F19)),0)&lt;0,0,ROUND(MIN($V$2*3,$B$36-SUM($J$6:$J18)-SUM($F19:F19)),0)))</f>
        <v/>
      </c>
      <c r="H19" s="168" t="str">
        <f>IF(OR(G19="",G19=0),"",IF(ROUND(MIN($V$2*3,$B$36-SUM($J$6:$J18)-SUM($F19:G19)),0)&lt;0,0,ROUND(MIN($V$2*3,$B$36-SUM($J$6:$J18)-SUM($F19:G19)),0)))</f>
        <v/>
      </c>
      <c r="I19" s="168" t="str">
        <f>IF(OR(H19="",H19=0),"",IF(ROUND(MIN($V$2*3,$B$36-SUM($J$6:$J18)-SUM($F19:H19)),0)&lt;0,0,ROUND(MIN($V$2*3,$B$36-SUM($J$6:$J18)-SUM($F19:H19)),0)))</f>
        <v/>
      </c>
      <c r="J19" s="169" t="str">
        <f t="shared" si="1"/>
        <v/>
      </c>
      <c r="L19" s="19">
        <v>17</v>
      </c>
      <c r="M19" s="20">
        <v>2</v>
      </c>
      <c r="N19" s="20">
        <v>17</v>
      </c>
      <c r="O19" s="21">
        <v>2</v>
      </c>
      <c r="R19" s="22">
        <v>17</v>
      </c>
      <c r="S19" s="23" t="e">
        <f t="shared" si="0"/>
        <v>#VALUE!</v>
      </c>
    </row>
    <row r="20" spans="1:34" ht="12" customHeight="1" thickBot="1" x14ac:dyDescent="0.3">
      <c r="A20" s="68" t="s">
        <v>19</v>
      </c>
      <c r="B20" s="4"/>
      <c r="C20" s="69"/>
      <c r="E20" s="167" t="str">
        <f t="shared" si="2"/>
        <v/>
      </c>
      <c r="F20" s="168" t="str">
        <f>IF(OR(I19="",I19=0),"",IF(ROUND(MIN($V$2*3,$B$36-SUM($J$6:$J19)),0)&lt;0,0,ROUND(MIN($V$2*3,$B$36-SUM($J$6:$J19)),0)))</f>
        <v/>
      </c>
      <c r="G20" s="168" t="str">
        <f>IF(OR(F20="",F20=0),"",IF(ROUND(MIN($V$2*3,$B$36-SUM($J$6:$J19)-SUM($F20:F20)),0)&lt;0,0,ROUND(MIN($V$2*3,$B$36-SUM($J$6:$J19)-SUM($F20:F20)),0)))</f>
        <v/>
      </c>
      <c r="H20" s="168" t="str">
        <f>IF(OR(G20="",G20=0),"",IF(ROUND(MIN($V$2*3,$B$36-SUM($J$6:$J19)-SUM($F20:G20)),0)&lt;0,0,ROUND(MIN($V$2*3,$B$36-SUM($J$6:$J19)-SUM($F20:G20)),0)))</f>
        <v/>
      </c>
      <c r="I20" s="168" t="str">
        <f>IF(OR(H20="",H20=0),"",IF(ROUND(MIN($V$2*3,$B$36-SUM($J$6:$J19)-SUM($F20:H20)),0)&lt;0,0,ROUND(MIN($V$2*3,$B$36-SUM($J$6:$J19)-SUM($F20:H20)),0)))</f>
        <v/>
      </c>
      <c r="J20" s="169" t="str">
        <f t="shared" si="1"/>
        <v/>
      </c>
      <c r="L20" s="19">
        <v>18</v>
      </c>
      <c r="M20" s="20">
        <v>2</v>
      </c>
      <c r="N20" s="20">
        <v>18</v>
      </c>
      <c r="O20" s="21">
        <v>1</v>
      </c>
      <c r="R20" s="22">
        <v>18</v>
      </c>
      <c r="S20" s="23" t="e">
        <f t="shared" si="0"/>
        <v>#VALUE!</v>
      </c>
      <c r="U20" s="1" t="s">
        <v>32</v>
      </c>
    </row>
    <row r="21" spans="1:34" ht="12" customHeight="1" x14ac:dyDescent="0.3">
      <c r="A21" s="68" t="s">
        <v>22</v>
      </c>
      <c r="B21" s="5"/>
      <c r="C21" s="69"/>
      <c r="E21" s="167" t="str">
        <f t="shared" si="2"/>
        <v/>
      </c>
      <c r="F21" s="168" t="str">
        <f>IF(OR(I20="",I20=0),"",IF(ROUND(MIN($V$2*3,$B$36-SUM($J$6:$J20)),0)&lt;0,0,ROUND(MIN($V$2*3,$B$36-SUM($J$6:$J20)),0)))</f>
        <v/>
      </c>
      <c r="G21" s="168" t="str">
        <f>IF(OR(F21="",F21=0),"",IF(ROUND(MIN($V$2*3,$B$36-SUM($J$6:$J20)-SUM($F21:F21)),0)&lt;0,0,ROUND(MIN($V$2*3,$B$36-SUM($J$6:$J20)-SUM($F21:F21)),0)))</f>
        <v/>
      </c>
      <c r="H21" s="168" t="str">
        <f>IF(OR(G21="",G21=0),"",IF(ROUND(MIN($V$2*3,$B$36-SUM($J$6:$J20)-SUM($F21:G21)),0)&lt;0,0,ROUND(MIN($V$2*3,$B$36-SUM($J$6:$J20)-SUM($F21:G21)),0)))</f>
        <v/>
      </c>
      <c r="I21" s="168" t="str">
        <f>IF(OR(H21="",H21=0),"",IF(ROUND(MIN($V$2*3,$B$36-SUM($J$6:$J20)-SUM($F21:H21)),0)&lt;0,0,ROUND(MIN($V$2*3,$B$36-SUM($J$6:$J20)-SUM($F21:H21)),0)))</f>
        <v/>
      </c>
      <c r="J21" s="169" t="str">
        <f t="shared" si="1"/>
        <v/>
      </c>
      <c r="L21" s="19">
        <v>19</v>
      </c>
      <c r="M21" s="20">
        <v>3</v>
      </c>
      <c r="N21" s="20">
        <v>19</v>
      </c>
      <c r="O21" s="21">
        <v>3</v>
      </c>
      <c r="R21" s="22">
        <v>19</v>
      </c>
      <c r="S21" s="23" t="e">
        <f t="shared" si="0"/>
        <v>#VALUE!</v>
      </c>
      <c r="U21" s="33" t="s">
        <v>0</v>
      </c>
      <c r="V21" s="34">
        <f>IF(ISERROR(IF(B18&gt;V22,YEAR(V22)+2,YEAR(V22)+1)),"Please enter the correct relevant period",IF(B18&gt;V22,YEAR(V22)+2,YEAR(V22)+1))</f>
        <v>1901</v>
      </c>
    </row>
    <row r="22" spans="1:34" ht="12" customHeight="1" thickBot="1" x14ac:dyDescent="0.35">
      <c r="A22" s="68" t="s">
        <v>20</v>
      </c>
      <c r="B22" s="5"/>
      <c r="C22" s="69"/>
      <c r="E22" s="167" t="str">
        <f t="shared" si="2"/>
        <v/>
      </c>
      <c r="F22" s="168" t="str">
        <f>IF(OR(I21="",I21=0),"",IF(ROUND(MIN($V$2*3,$B$36-SUM($J$6:$J21)),0)&lt;0,0,ROUND(MIN($V$2*3,$B$36-SUM($J$6:$J21)),0)))</f>
        <v/>
      </c>
      <c r="G22" s="168" t="str">
        <f>IF(OR(F22="",F22=0),"",IF(ROUND(MIN($V$2*3,$B$36-SUM($J$6:$J21)-SUM($F22:F22)),0)&lt;0,0,ROUND(MIN($V$2*3,$B$36-SUM($J$6:$J21)-SUM($F22:F22)),0)))</f>
        <v/>
      </c>
      <c r="H22" s="168" t="str">
        <f>IF(OR(G22="",G22=0),"",IF(ROUND(MIN($V$2*3,$B$36-SUM($J$6:$J21)-SUM($F22:G22)),0)&lt;0,0,ROUND(MIN($V$2*3,$B$36-SUM($J$6:$J21)-SUM($F22:G22)),0)))</f>
        <v/>
      </c>
      <c r="I22" s="168" t="str">
        <f>IF(OR(H22="",H22=0),"",IF(ROUND(MIN($V$2*3,$B$36-SUM($J$6:$J21)-SUM($F22:H22)),0)&lt;0,0,ROUND(MIN($V$2*3,$B$36-SUM($J$6:$J21)-SUM($F22:H22)),0)))</f>
        <v/>
      </c>
      <c r="J22" s="169" t="str">
        <f t="shared" si="1"/>
        <v/>
      </c>
      <c r="L22" s="19">
        <v>20</v>
      </c>
      <c r="M22" s="20">
        <v>3</v>
      </c>
      <c r="N22" s="20">
        <v>20</v>
      </c>
      <c r="O22" s="21">
        <v>2</v>
      </c>
      <c r="R22" s="22">
        <v>20</v>
      </c>
      <c r="S22" s="23" t="e">
        <f t="shared" si="0"/>
        <v>#VALUE!</v>
      </c>
      <c r="U22" s="30" t="s">
        <v>9</v>
      </c>
      <c r="V22" s="31">
        <f>DATE(YEAR($B$18),MONTH($B$13),DAY($B$13))</f>
        <v>0</v>
      </c>
    </row>
    <row r="23" spans="1:34" ht="12" customHeight="1" x14ac:dyDescent="0.25">
      <c r="A23" s="68" t="s">
        <v>21</v>
      </c>
      <c r="B23" s="5"/>
      <c r="C23" s="69"/>
      <c r="E23" s="167" t="str">
        <f t="shared" si="2"/>
        <v/>
      </c>
      <c r="F23" s="168" t="str">
        <f>IF(OR(I22="",I22=0),"",IF(ROUND(MIN($V$2*3,$B$36-SUM($J$6:$J22)),0)&lt;0,0,ROUND(MIN($V$2*3,$B$36-SUM($J$6:$J22)),0)))</f>
        <v/>
      </c>
      <c r="G23" s="168" t="str">
        <f>IF(OR(F23="",F23=0),"",IF(ROUND(MIN($V$2*3,$B$36-SUM($J$6:$J22)-SUM($F23:F23)),0)&lt;0,0,ROUND(MIN($V$2*3,$B$36-SUM($J$6:$J22)-SUM($F23:F23)),0)))</f>
        <v/>
      </c>
      <c r="H23" s="168" t="str">
        <f>IF(OR(G23="",G23=0),"",IF(ROUND(MIN($V$2*3,$B$36-SUM($J$6:$J22)-SUM($F23:G23)),0)&lt;0,0,ROUND(MIN($V$2*3,$B$36-SUM($J$6:$J22)-SUM($F23:G23)),0)))</f>
        <v/>
      </c>
      <c r="I23" s="168" t="str">
        <f>IF(OR(H23="",H23=0),"",IF(ROUND(MIN($V$2*3,$B$36-SUM($J$6:$J22)-SUM($F23:H23)),0)&lt;0,0,ROUND(MIN($V$2*3,$B$36-SUM($J$6:$J22)-SUM($F23:H23)),0)))</f>
        <v/>
      </c>
      <c r="J23" s="169" t="str">
        <f t="shared" si="1"/>
        <v/>
      </c>
      <c r="L23" s="19">
        <v>21</v>
      </c>
      <c r="M23" s="20">
        <v>3</v>
      </c>
      <c r="N23" s="20">
        <v>21</v>
      </c>
      <c r="O23" s="21">
        <v>1</v>
      </c>
      <c r="R23" s="22">
        <v>21</v>
      </c>
      <c r="S23" s="23" t="e">
        <f t="shared" si="0"/>
        <v>#VALUE!</v>
      </c>
    </row>
    <row r="24" spans="1:34" ht="12" customHeight="1" thickBot="1" x14ac:dyDescent="0.35">
      <c r="A24" s="68"/>
      <c r="B24" s="70"/>
      <c r="C24" s="69"/>
      <c r="E24" s="167" t="str">
        <f t="shared" si="2"/>
        <v/>
      </c>
      <c r="F24" s="168" t="str">
        <f>IF(OR(I23="",I23=0),"",IF(ROUND(MIN($V$2*3,$B$36-SUM($J$6:$J23)),0)&lt;0,0,ROUND(MIN($V$2*3,$B$36-SUM($J$6:$J23)),0)))</f>
        <v/>
      </c>
      <c r="G24" s="168" t="str">
        <f>IF(OR(F24="",F24=0),"",IF(ROUND(MIN($V$2*3,$B$36-SUM($J$6:$J23)-SUM($F24:F24)),0)&lt;0,0,ROUND(MIN($V$2*3,$B$36-SUM($J$6:$J23)-SUM($F24:F24)),0)))</f>
        <v/>
      </c>
      <c r="H24" s="168" t="str">
        <f>IF(OR(G24="",G24=0),"",IF(ROUND(MIN($V$2*3,$B$36-SUM($J$6:$J23)-SUM($F24:G24)),0)&lt;0,0,ROUND(MIN($V$2*3,$B$36-SUM($J$6:$J23)-SUM($F24:G24)),0)))</f>
        <v/>
      </c>
      <c r="I24" s="168" t="str">
        <f>IF(OR(H24="",H24=0),"",IF(ROUND(MIN($V$2*3,$B$36-SUM($J$6:$J23)-SUM($F24:H24)),0)&lt;0,0,ROUND(MIN($V$2*3,$B$36-SUM($J$6:$J23)-SUM($F24:H24)),0)))</f>
        <v/>
      </c>
      <c r="J24" s="169" t="str">
        <f t="shared" si="1"/>
        <v/>
      </c>
      <c r="L24" s="19">
        <v>22</v>
      </c>
      <c r="M24" s="20">
        <v>4</v>
      </c>
      <c r="N24" s="20">
        <v>22</v>
      </c>
      <c r="O24" s="21">
        <v>3</v>
      </c>
      <c r="R24" s="22">
        <v>22</v>
      </c>
      <c r="S24" s="23" t="e">
        <f t="shared" si="0"/>
        <v>#VALUE!</v>
      </c>
      <c r="U24" s="35"/>
      <c r="W24" s="119" t="s">
        <v>10</v>
      </c>
      <c r="X24" s="119"/>
      <c r="Y24" s="119"/>
      <c r="Z24" s="119"/>
    </row>
    <row r="25" spans="1:34" x14ac:dyDescent="0.25">
      <c r="A25" s="68" t="s">
        <v>72</v>
      </c>
      <c r="B25" s="6"/>
      <c r="C25" s="69"/>
      <c r="E25" s="167" t="str">
        <f t="shared" si="2"/>
        <v/>
      </c>
      <c r="F25" s="168" t="str">
        <f>IF(OR(I24="",I24=0),"",IF(ROUND(MIN($V$2*3,$B$36-SUM($J$6:$J24)),0)&lt;0,0,ROUND(MIN($V$2*3,$B$36-SUM($J$6:$J24)),0)))</f>
        <v/>
      </c>
      <c r="G25" s="168" t="str">
        <f>IF(OR(F25="",F25=0),"",IF(ROUND(MIN($V$2*3,$B$36-SUM($J$6:$J24)-SUM($F25:F25)),0)&lt;0,0,ROUND(MIN($V$2*3,$B$36-SUM($J$6:$J24)-SUM($F25:F25)),0)))</f>
        <v/>
      </c>
      <c r="H25" s="168" t="str">
        <f>IF(OR(G25="",G25=0),"",IF(ROUND(MIN($V$2*3,$B$36-SUM($J$6:$J24)-SUM($F25:G25)),0)&lt;0,0,ROUND(MIN($V$2*3,$B$36-SUM($J$6:$J24)-SUM($F25:G25)),0)))</f>
        <v/>
      </c>
      <c r="I25" s="168" t="str">
        <f>IF(OR(H25="",H25=0),"",IF(ROUND(MIN($V$2*3,$B$36-SUM($J$6:$J24)-SUM($F25:H25)),0)&lt;0,0,ROUND(MIN($V$2*3,$B$36-SUM($J$6:$J24)-SUM($F25:H25)),0)))</f>
        <v/>
      </c>
      <c r="J25" s="169" t="str">
        <f t="shared" si="1"/>
        <v/>
      </c>
      <c r="L25" s="19">
        <v>23</v>
      </c>
      <c r="M25" s="20">
        <v>4</v>
      </c>
      <c r="N25" s="20">
        <v>23</v>
      </c>
      <c r="O25" s="21">
        <v>2</v>
      </c>
      <c r="R25" s="22">
        <v>23</v>
      </c>
      <c r="S25" s="23" t="e">
        <f t="shared" si="0"/>
        <v>#VALUE!</v>
      </c>
      <c r="U25" s="125" t="s">
        <v>2</v>
      </c>
      <c r="V25" s="36"/>
      <c r="W25" s="37">
        <v>2</v>
      </c>
      <c r="X25" s="37">
        <v>5</v>
      </c>
      <c r="Y25" s="37">
        <v>8</v>
      </c>
      <c r="Z25" s="34">
        <v>11</v>
      </c>
    </row>
    <row r="26" spans="1:34" ht="13" thickBot="1" x14ac:dyDescent="0.3">
      <c r="A26" s="68" t="s">
        <v>23</v>
      </c>
      <c r="B26" s="7"/>
      <c r="C26" s="69"/>
      <c r="E26" s="167" t="str">
        <f t="shared" si="2"/>
        <v/>
      </c>
      <c r="F26" s="168" t="str">
        <f>IF(OR(I25="",I25=0),"",IF(ROUND(MIN($V$2*3,$B$36-SUM($J$6:$J25)),0)&lt;0,0,ROUND(MIN($V$2*3,$B$36-SUM($J$6:$J25)),0)))</f>
        <v/>
      </c>
      <c r="G26" s="168" t="str">
        <f>IF(OR(F26="",F26=0),"",IF(ROUND(MIN($V$2*3,$B$36-SUM($J$6:$J25)-SUM($F26:F26)),0)&lt;0,0,ROUND(MIN($V$2*3,$B$36-SUM($J$6:$J25)-SUM($F26:F26)),0)))</f>
        <v/>
      </c>
      <c r="H26" s="168" t="str">
        <f>IF(OR(G26="",G26=0),"",IF(ROUND(MIN($V$2*3,$B$36-SUM($J$6:$J25)-SUM($F26:G26)),0)&lt;0,0,ROUND(MIN($V$2*3,$B$36-SUM($J$6:$J25)-SUM($F26:G26)),0)))</f>
        <v/>
      </c>
      <c r="I26" s="168" t="str">
        <f>IF(OR(H26="",H26=0),"",IF(ROUND(MIN($V$2*3,$B$36-SUM($J$6:$J25)-SUM($F26:H26)),0)&lt;0,0,ROUND(MIN($V$2*3,$B$36-SUM($J$6:$J25)-SUM($F26:H26)),0)))</f>
        <v/>
      </c>
      <c r="J26" s="169" t="str">
        <f t="shared" si="1"/>
        <v/>
      </c>
      <c r="L26" s="38">
        <v>24</v>
      </c>
      <c r="M26" s="39">
        <v>4</v>
      </c>
      <c r="N26" s="39">
        <v>24</v>
      </c>
      <c r="O26" s="40">
        <v>1</v>
      </c>
      <c r="R26" s="22">
        <v>24</v>
      </c>
      <c r="S26" s="23" t="e">
        <f t="shared" si="0"/>
        <v>#VALUE!</v>
      </c>
      <c r="U26" s="125"/>
      <c r="V26" s="22" t="str">
        <f>TEXT(MONTH(DATE(2013,MONTH(B13)+1,1)),0)</f>
        <v>2</v>
      </c>
      <c r="W26" s="41" t="str">
        <f>INDEX($F$6:$I$36,MATCH($B$46,$E$6:$E$36,0),1)</f>
        <v/>
      </c>
      <c r="X26" s="41" t="e">
        <f>INDEX($F$6:$I$36,MATCH($B$46,$E$6:$E$36,0),1)+INDEX($F$6:$I$36,MATCH($B$46,$E$6:$E$36,0),2)</f>
        <v>#VALUE!</v>
      </c>
      <c r="Y26" s="41" t="e">
        <f>INDEX($F$6:$I$36,MATCH($B$46,$E$6:$E$36,0),1)+INDEX($F$6:$I$36,MATCH($B$46,$E$6:$E$36,0),2)+INDEX($F$6:$I$36,MATCH($B$46,$E$6:$E$36,0),3)</f>
        <v>#VALUE!</v>
      </c>
      <c r="Z26" s="42" t="e">
        <f>INDEX($F$6:$I$36,MATCH($B$46,$E$6:$E$36,0),1)+INDEX($F$6:$I$36,MATCH($B$46,$E$6:$E$36,0),2)+INDEX($F$6:$I$36,MATCH($B$46,$E$6:$E$36,0),3)+INDEX($F$6:$I$36,MATCH($B$46,$E$6:$E$36,0),4)</f>
        <v>#VALUE!</v>
      </c>
    </row>
    <row r="27" spans="1:34" ht="13.5" thickBot="1" x14ac:dyDescent="0.3">
      <c r="A27" s="68" t="s">
        <v>25</v>
      </c>
      <c r="B27" s="73">
        <f>SUM(B25:B26)</f>
        <v>0</v>
      </c>
      <c r="C27" s="69"/>
      <c r="E27" s="167" t="str">
        <f t="shared" si="2"/>
        <v/>
      </c>
      <c r="F27" s="168" t="str">
        <f>IF(OR(I26="",I26=0),"",IF(ROUND(MIN($V$2*3,$B$36-SUM($J$6:$J26)),0)&lt;0,0,ROUND(MIN($V$2*3,$B$36-SUM($J$6:$J26)),0)))</f>
        <v/>
      </c>
      <c r="G27" s="168" t="str">
        <f>IF(OR(F27="",F27=0),"",IF(ROUND(MIN($V$2*3,$B$36-SUM($J$6:$J26)-SUM($F27:F27)),0)&lt;0,0,ROUND(MIN($V$2*3,$B$36-SUM($J$6:$J26)-SUM($F27:F27)),0)))</f>
        <v/>
      </c>
      <c r="H27" s="168" t="str">
        <f>IF(OR(G27="",G27=0),"",IF(ROUND(MIN($V$2*3,$B$36-SUM($J$6:$J26)-SUM($F27:G27)),0)&lt;0,0,ROUND(MIN($V$2*3,$B$36-SUM($J$6:$J26)-SUM($F27:G27)),0)))</f>
        <v/>
      </c>
      <c r="I27" s="168" t="str">
        <f>IF(OR(H27="",H27=0),"",IF(ROUND(MIN($V$2*3,$B$36-SUM($J$6:$J26)-SUM($F27:H27)),0)&lt;0,0,ROUND(MIN($V$2*3,$B$36-SUM($J$6:$J26)-SUM($F27:H27)),0)))</f>
        <v/>
      </c>
      <c r="J27" s="169" t="str">
        <f t="shared" si="1"/>
        <v/>
      </c>
      <c r="R27" s="22">
        <v>25</v>
      </c>
      <c r="S27" s="23" t="e">
        <f t="shared" si="0"/>
        <v>#VALUE!</v>
      </c>
      <c r="U27" s="125"/>
      <c r="V27" s="22" t="str">
        <f>TEXT(MONTH(DATE(2013,MONTH(B13)+4,1)),0)</f>
        <v>5</v>
      </c>
      <c r="W27" s="41" t="str">
        <f>INDEX($F$6:$I$36,MATCH($B$46,$E$6:$E$36,0),2)</f>
        <v/>
      </c>
      <c r="X27" s="41" t="e">
        <f>INDEX($F$6:$I$36,MATCH($B$46,$E$6:$E$36,0),2)+INDEX($F$6:$I$36,MATCH($B$46,$E$6:$E$36,0),3)</f>
        <v>#VALUE!</v>
      </c>
      <c r="Y27" s="41" t="e">
        <f>INDEX($F$6:$I$36,MATCH($B$46,$E$6:$E$36,0),2)+INDEX($F$6:$I$36,MATCH($B$46,$E$6:$E$36,0),3)+INDEX($F$6:$I$36,MATCH($B$46,$E$6:$E$36,0),4)</f>
        <v>#VALUE!</v>
      </c>
      <c r="Z27" s="43" t="s">
        <v>8</v>
      </c>
    </row>
    <row r="28" spans="1:34" ht="13" x14ac:dyDescent="0.3">
      <c r="A28" s="68"/>
      <c r="B28" s="70"/>
      <c r="C28" s="69"/>
      <c r="E28" s="167" t="str">
        <f t="shared" si="2"/>
        <v/>
      </c>
      <c r="F28" s="168" t="str">
        <f>IF(OR(I27="",I27=0),"",IF(ROUND(MIN($V$2*3,$B$36-SUM($J$6:$J27)),0)&lt;0,0,ROUND(MIN($V$2*3,$B$36-SUM($J$6:$J27)),0)))</f>
        <v/>
      </c>
      <c r="G28" s="168" t="str">
        <f>IF(OR(F28="",F28=0),"",IF(ROUND(MIN($V$2*3,$B$36-SUM($J$6:$J27)-SUM($F28:F28)),0)&lt;0,0,ROUND(MIN($V$2*3,$B$36-SUM($J$6:$J27)-SUM($F28:F28)),0)))</f>
        <v/>
      </c>
      <c r="H28" s="168" t="str">
        <f>IF(OR(G28="",G28=0),"",IF(ROUND(MIN($V$2*3,$B$36-SUM($J$6:$J27)-SUM($F28:G28)),0)&lt;0,0,ROUND(MIN($V$2*3,$B$36-SUM($J$6:$J27)-SUM($F28:G28)),0)))</f>
        <v/>
      </c>
      <c r="I28" s="168" t="str">
        <f>IF(OR(H28="",H28=0),"",IF(ROUND(MIN($V$2*3,$B$36-SUM($J$6:$J27)-SUM($F28:H28)),0)&lt;0,0,ROUND(MIN($V$2*3,$B$36-SUM($J$6:$J27)-SUM($F28:H28)),0)))</f>
        <v/>
      </c>
      <c r="J28" s="169" t="str">
        <f t="shared" si="1"/>
        <v/>
      </c>
      <c r="L28" s="17" t="s">
        <v>2</v>
      </c>
      <c r="M28" s="44">
        <v>1</v>
      </c>
      <c r="N28" s="44">
        <v>2</v>
      </c>
      <c r="O28" s="44">
        <v>3</v>
      </c>
      <c r="P28" s="28">
        <v>4</v>
      </c>
      <c r="Q28" s="45"/>
      <c r="R28" s="22">
        <v>26</v>
      </c>
      <c r="S28" s="23" t="e">
        <f t="shared" si="0"/>
        <v>#VALUE!</v>
      </c>
      <c r="U28" s="125"/>
      <c r="V28" s="22" t="str">
        <f>TEXT(MONTH(DATE(2013,MONTH(B13)+7,1)),0)</f>
        <v>8</v>
      </c>
      <c r="W28" s="41" t="str">
        <f>INDEX($F$6:$I$36,MATCH($B$46,$E$6:$E$36,0),3)</f>
        <v/>
      </c>
      <c r="X28" s="41" t="e">
        <f>INDEX($F$6:$I$36,MATCH($B$46,$E$6:$E$36,0),3)+INDEX($F$6:$I$36,MATCH($B$46,$E$6:$E$36,0),4)</f>
        <v>#VALUE!</v>
      </c>
      <c r="Y28" s="46" t="s">
        <v>8</v>
      </c>
      <c r="Z28" s="43" t="s">
        <v>8</v>
      </c>
    </row>
    <row r="29" spans="1:34" ht="12" customHeight="1" thickBot="1" x14ac:dyDescent="0.35">
      <c r="A29" s="68" t="s">
        <v>24</v>
      </c>
      <c r="B29" s="6"/>
      <c r="C29" s="69"/>
      <c r="E29" s="167" t="str">
        <f t="shared" si="2"/>
        <v/>
      </c>
      <c r="F29" s="168" t="str">
        <f>IF(OR(I28="",I28=0),"",IF(ROUND(MIN($V$2*3,$B$36-SUM($J$6:$J28)),0)&lt;0,0,ROUND(MIN($V$2*3,$B$36-SUM($J$6:$J28)),0)))</f>
        <v/>
      </c>
      <c r="G29" s="168" t="str">
        <f>IF(OR(F29="",F29=0),"",IF(ROUND(MIN($V$2*3,$B$36-SUM($J$6:$J28)-SUM($F29:F29)),0)&lt;0,0,ROUND(MIN($V$2*3,$B$36-SUM($J$6:$J28)-SUM($F29:F29)),0)))</f>
        <v/>
      </c>
      <c r="H29" s="168" t="str">
        <f>IF(OR(G29="",G29=0),"",IF(ROUND(MIN($V$2*3,$B$36-SUM($J$6:$J28)-SUM($F29:G29)),0)&lt;0,0,ROUND(MIN($V$2*3,$B$36-SUM($J$6:$J28)-SUM($F29:G29)),0)))</f>
        <v/>
      </c>
      <c r="I29" s="168" t="str">
        <f>IF(OR(H29="",H29=0),"",IF(ROUND(MIN($V$2*3,$B$36-SUM($J$6:$J28)-SUM($F29:H29)),0)&lt;0,0,ROUND(MIN($V$2*3,$B$36-SUM($J$6:$J28)-SUM($F29:H29)),0)))</f>
        <v/>
      </c>
      <c r="J29" s="169" t="str">
        <f t="shared" si="1"/>
        <v/>
      </c>
      <c r="L29" s="26" t="s">
        <v>5</v>
      </c>
      <c r="M29" s="47" t="e">
        <f>IF($V$8&lt;&gt;M28,"",LOOKUP($V$7,$N$3:$N$26,$O$3:$O$26))</f>
        <v>#N/A</v>
      </c>
      <c r="N29" s="47" t="e">
        <f>IF($V$8&lt;&gt;N28,"",LOOKUP($V$7,$N$3:$N$26,$O$3:$O$26))</f>
        <v>#N/A</v>
      </c>
      <c r="O29" s="47" t="e">
        <f>IF($V$8&lt;&gt;O28,"",LOOKUP($V$7,$N$3:$N$26,$O$3:$O$26))</f>
        <v>#N/A</v>
      </c>
      <c r="P29" s="48" t="e">
        <f>IF($V$8&lt;&gt;P28,"",LOOKUP($V$7,$N$3:$N$26,$O$3:$O$26))</f>
        <v>#N/A</v>
      </c>
      <c r="Q29" s="49"/>
      <c r="R29" s="22">
        <v>27</v>
      </c>
      <c r="S29" s="23" t="e">
        <f t="shared" si="0"/>
        <v>#VALUE!</v>
      </c>
      <c r="U29" s="125"/>
      <c r="V29" s="50" t="str">
        <f>TEXT(MONTH(DATE(2013,MONTH(B13)+10,1)),0)</f>
        <v>11</v>
      </c>
      <c r="W29" s="51" t="str">
        <f>INDEX($F$6:$I$36,MATCH($B$46,$E$6:$E$36,0),4)</f>
        <v/>
      </c>
      <c r="X29" s="52" t="s">
        <v>8</v>
      </c>
      <c r="Y29" s="52" t="s">
        <v>8</v>
      </c>
      <c r="Z29" s="53" t="s">
        <v>8</v>
      </c>
    </row>
    <row r="30" spans="1:34" ht="12" customHeight="1" thickBot="1" x14ac:dyDescent="0.3">
      <c r="A30" s="68" t="s">
        <v>73</v>
      </c>
      <c r="B30" s="5"/>
      <c r="C30" s="69"/>
      <c r="E30" s="167" t="str">
        <f t="shared" si="2"/>
        <v/>
      </c>
      <c r="F30" s="168" t="str">
        <f>IF(OR(I29="",I29=0),"",IF(ROUND(MIN($V$2*3,$B$36-SUM($J$6:$J29)),0)&lt;0,0,ROUND(MIN($V$2*3,$B$36-SUM($J$6:$J29)),0)))</f>
        <v/>
      </c>
      <c r="G30" s="168" t="str">
        <f>IF(OR(F30="",F30=0),"",IF(ROUND(MIN($V$2*3,$B$36-SUM($J$6:$J29)-SUM($F30:F30)),0)&lt;0,0,ROUND(MIN($V$2*3,$B$36-SUM($J$6:$J29)-SUM($F30:F30)),0)))</f>
        <v/>
      </c>
      <c r="H30" s="168" t="str">
        <f>IF(OR(G30="",G30=0),"",IF(ROUND(MIN($V$2*3,$B$36-SUM($J$6:$J29)-SUM($F30:G30)),0)&lt;0,0,ROUND(MIN($V$2*3,$B$36-SUM($J$6:$J29)-SUM($F30:G30)),0)))</f>
        <v/>
      </c>
      <c r="I30" s="168" t="str">
        <f>IF(OR(H30="",H30=0),"",IF(ROUND(MIN($V$2*3,$B$36-SUM($J$6:$J29)-SUM($F30:H30)),0)&lt;0,0,ROUND(MIN($V$2*3,$B$36-SUM($J$6:$J29)-SUM($F30:H30)),0)))</f>
        <v/>
      </c>
      <c r="J30" s="169" t="str">
        <f t="shared" si="1"/>
        <v/>
      </c>
      <c r="R30" s="22">
        <v>28</v>
      </c>
      <c r="S30" s="23" t="e">
        <f t="shared" si="0"/>
        <v>#VALUE!</v>
      </c>
    </row>
    <row r="31" spans="1:34" x14ac:dyDescent="0.25">
      <c r="A31" s="68"/>
      <c r="B31" s="70"/>
      <c r="C31" s="69"/>
      <c r="E31" s="167" t="str">
        <f t="shared" si="2"/>
        <v/>
      </c>
      <c r="F31" s="168" t="str">
        <f>IF(OR(I30="",I30=0),"",IF(ROUND(MIN($V$2*3,$B$36-SUM($J$6:$J30)),0)&lt;0,0,ROUND(MIN($V$2*3,$B$36-SUM($J$6:$J30)),0)))</f>
        <v/>
      </c>
      <c r="G31" s="168" t="str">
        <f>IF(OR(F31="",F31=0),"",IF(ROUND(MIN($V$2*3,$B$36-SUM($J$6:$J30)-SUM($F31:F31)),0)&lt;0,0,ROUND(MIN($V$2*3,$B$36-SUM($J$6:$J30)-SUM($F31:F31)),0)))</f>
        <v/>
      </c>
      <c r="H31" s="168" t="str">
        <f>IF(OR(G31="",G31=0),"",IF(ROUND(MIN($V$2*3,$B$36-SUM($J$6:$J30)-SUM($F31:G31)),0)&lt;0,0,ROUND(MIN($V$2*3,$B$36-SUM($J$6:$J30)-SUM($F31:G31)),0)))</f>
        <v/>
      </c>
      <c r="I31" s="168" t="str">
        <f>IF(OR(H31="",H31=0),"",IF(ROUND(MIN($V$2*3,$B$36-SUM($J$6:$J30)-SUM($F31:H31)),0)&lt;0,0,ROUND(MIN($V$2*3,$B$36-SUM($J$6:$J30)-SUM($F31:H31)),0)))</f>
        <v/>
      </c>
      <c r="J31" s="169" t="str">
        <f t="shared" si="1"/>
        <v/>
      </c>
      <c r="R31" s="22">
        <v>29</v>
      </c>
      <c r="S31" s="23" t="e">
        <f t="shared" si="0"/>
        <v>#VALUE!</v>
      </c>
      <c r="V31" s="36"/>
      <c r="W31" s="54">
        <v>44957</v>
      </c>
      <c r="X31" s="54">
        <v>44985</v>
      </c>
      <c r="Y31" s="54">
        <v>45016</v>
      </c>
      <c r="Z31" s="54">
        <v>45046</v>
      </c>
      <c r="AA31" s="54">
        <v>45077</v>
      </c>
      <c r="AB31" s="54">
        <v>45107</v>
      </c>
      <c r="AC31" s="54">
        <v>45138</v>
      </c>
      <c r="AD31" s="54">
        <v>45169</v>
      </c>
      <c r="AE31" s="54">
        <v>45199</v>
      </c>
      <c r="AF31" s="54">
        <v>45230</v>
      </c>
      <c r="AG31" s="54">
        <v>45260</v>
      </c>
      <c r="AH31" s="55">
        <v>45291</v>
      </c>
    </row>
    <row r="32" spans="1:34" ht="14.15" customHeight="1" x14ac:dyDescent="0.35">
      <c r="A32" s="93" t="s">
        <v>56</v>
      </c>
      <c r="B32" s="7"/>
      <c r="C32" s="69"/>
      <c r="E32" s="167" t="str">
        <f t="shared" si="2"/>
        <v/>
      </c>
      <c r="F32" s="168" t="str">
        <f>IF(OR(I31="",I31=0),"",IF(ROUND(MIN($V$2*3,$B$36-SUM($J$6:$J31)),0)&lt;0,0,ROUND(MIN($V$2*3,$B$36-SUM($J$6:$J31)),0)))</f>
        <v/>
      </c>
      <c r="G32" s="168" t="str">
        <f>IF(OR(F32="",F32=0),"",IF(ROUND(MIN($V$2*3,$B$36-SUM($J$6:$J31)-SUM($F32:F32)),0)&lt;0,0,ROUND(MIN($V$2*3,$B$36-SUM($J$6:$J31)-SUM($F32:F32)),0)))</f>
        <v/>
      </c>
      <c r="H32" s="168" t="str">
        <f>IF(OR(G32="",G32=0),"",IF(ROUND(MIN($V$2*3,$B$36-SUM($J$6:$J31)-SUM($F32:G32)),0)&lt;0,0,ROUND(MIN($V$2*3,$B$36-SUM($J$6:$J31)-SUM($F32:G32)),0)))</f>
        <v/>
      </c>
      <c r="I32" s="168" t="str">
        <f>IF(OR(H32="",H32=0),"",IF(ROUND(MIN($V$2*3,$B$36-SUM($J$6:$J31)-SUM($F32:H32)),0)&lt;0,0,ROUND(MIN($V$2*3,$B$36-SUM($J$6:$J31)-SUM($F32:H32)),0)))</f>
        <v/>
      </c>
      <c r="J32" s="169" t="str">
        <f t="shared" si="1"/>
        <v/>
      </c>
      <c r="R32" s="22">
        <v>30</v>
      </c>
      <c r="S32" s="23" t="e">
        <f t="shared" si="0"/>
        <v>#VALUE!</v>
      </c>
      <c r="V32" s="56">
        <v>1</v>
      </c>
      <c r="W32" s="46">
        <v>1</v>
      </c>
      <c r="X32" s="46">
        <v>1</v>
      </c>
      <c r="Y32" s="46">
        <v>1</v>
      </c>
      <c r="Z32" s="46">
        <v>1</v>
      </c>
      <c r="AA32" s="46">
        <v>1</v>
      </c>
      <c r="AB32" s="46">
        <v>1</v>
      </c>
      <c r="AC32" s="46">
        <v>1</v>
      </c>
      <c r="AD32" s="46">
        <v>1</v>
      </c>
      <c r="AE32" s="46">
        <v>1</v>
      </c>
      <c r="AF32" s="46">
        <v>1</v>
      </c>
      <c r="AG32" s="46">
        <v>1</v>
      </c>
      <c r="AH32" s="43">
        <v>1</v>
      </c>
    </row>
    <row r="33" spans="1:34" ht="13" thickBot="1" x14ac:dyDescent="0.3">
      <c r="A33" s="68" t="s">
        <v>16</v>
      </c>
      <c r="B33" s="6"/>
      <c r="C33" s="69"/>
      <c r="E33" s="167" t="str">
        <f t="shared" si="2"/>
        <v/>
      </c>
      <c r="F33" s="168" t="str">
        <f>IF(OR(I32="",I32=0),"",IF(ROUND(MIN($V$2*3,$B$36-SUM($J$6:$J32)),0)&lt;0,0,ROUND(MIN($V$2*3,$B$36-SUM($J$6:$J32)),0)))</f>
        <v/>
      </c>
      <c r="G33" s="168" t="str">
        <f>IF(OR(F33="",F33=0),"",IF(ROUND(MIN($V$2*3,$B$36-SUM($J$6:$J32)-SUM($F33:F33)),0)&lt;0,0,ROUND(MIN($V$2*3,$B$36-SUM($J$6:$J32)-SUM($F33:F33)),0)))</f>
        <v/>
      </c>
      <c r="H33" s="168" t="str">
        <f>IF(OR(G33="",G33=0),"",IF(ROUND(MIN($V$2*3,$B$36-SUM($J$6:$J32)-SUM($F33:G33)),0)&lt;0,0,ROUND(MIN($V$2*3,$B$36-SUM($J$6:$J32)-SUM($F33:G33)),0)))</f>
        <v/>
      </c>
      <c r="I33" s="168" t="str">
        <f>IF(OR(H33="",H33=0),"",IF(ROUND(MIN($V$2*3,$B$36-SUM($J$6:$J32)-SUM($F33:H33)),0)&lt;0,0,ROUND(MIN($V$2*3,$B$36-SUM($J$6:$J32)-SUM($F33:H33)),0)))</f>
        <v/>
      </c>
      <c r="J33" s="169" t="str">
        <f t="shared" si="1"/>
        <v/>
      </c>
      <c r="R33" s="38">
        <v>31</v>
      </c>
      <c r="S33" s="40" t="e">
        <f t="shared" si="0"/>
        <v>#VALUE!</v>
      </c>
      <c r="V33" s="56">
        <v>2</v>
      </c>
      <c r="W33" s="46">
        <v>2</v>
      </c>
      <c r="X33" s="46">
        <v>1</v>
      </c>
      <c r="Y33" s="46">
        <v>1</v>
      </c>
      <c r="Z33" s="46">
        <v>1</v>
      </c>
      <c r="AA33" s="46">
        <v>1</v>
      </c>
      <c r="AB33" s="46">
        <v>1</v>
      </c>
      <c r="AC33" s="46">
        <v>1</v>
      </c>
      <c r="AD33" s="46">
        <v>1</v>
      </c>
      <c r="AE33" s="46">
        <v>1</v>
      </c>
      <c r="AF33" s="46">
        <v>1</v>
      </c>
      <c r="AG33" s="46">
        <v>1</v>
      </c>
      <c r="AH33" s="43">
        <v>1</v>
      </c>
    </row>
    <row r="34" spans="1:34" x14ac:dyDescent="0.25">
      <c r="A34" s="68" t="s">
        <v>75</v>
      </c>
      <c r="B34" s="6"/>
      <c r="C34" s="69"/>
      <c r="E34" s="167"/>
      <c r="F34" s="168"/>
      <c r="G34" s="168"/>
      <c r="H34" s="168"/>
      <c r="I34" s="168"/>
      <c r="J34" s="169"/>
      <c r="R34" s="49"/>
      <c r="S34" s="49"/>
      <c r="V34" s="56"/>
      <c r="W34" s="46"/>
      <c r="X34" s="46"/>
      <c r="Y34" s="46"/>
      <c r="Z34" s="46"/>
      <c r="AA34" s="46"/>
      <c r="AB34" s="46"/>
      <c r="AC34" s="46"/>
      <c r="AD34" s="46"/>
      <c r="AE34" s="46"/>
      <c r="AF34" s="46"/>
      <c r="AG34" s="46"/>
      <c r="AH34" s="43"/>
    </row>
    <row r="35" spans="1:34" ht="13" thickBot="1" x14ac:dyDescent="0.3">
      <c r="A35" s="68"/>
      <c r="B35" s="75"/>
      <c r="C35" s="69"/>
      <c r="E35" s="167" t="str">
        <f>IF(OR(F35="",F35=0),"",E33+1)</f>
        <v/>
      </c>
      <c r="F35" s="168" t="str">
        <f>IF(OR(I33="",I33=0),"",IF(ROUND(MIN($V$2*3,$B$36-SUM($J$6:$J33)),0)&lt;0,0,ROUND(MIN($V$2*3,$B$36-SUM($J$6:$J33)),0)))</f>
        <v/>
      </c>
      <c r="G35" s="168" t="str">
        <f>IF(OR(F35="",F35=0),"",IF(ROUND(MIN($V$2*3,$B$36-SUM($J$6:$J33)-SUM($F35:F35)),0)&lt;0,0,ROUND(MIN($V$2*3,$B$36-SUM($J$6:$J33)-SUM($F35:F35)),0)))</f>
        <v/>
      </c>
      <c r="H35" s="168" t="str">
        <f>IF(OR(G35="",G35=0),"",IF(ROUND(MIN($V$2*3,$B$36-SUM($J$6:$J33)-SUM($F35:G35)),0)&lt;0,0,ROUND(MIN($V$2*3,$B$36-SUM($J$6:$J33)-SUM($F35:G35)),0)))</f>
        <v/>
      </c>
      <c r="I35" s="168" t="str">
        <f>IF(OR(H35="",H35=0),"",IF(ROUND(MIN($V$2*3,$B$36-SUM($J$6:$J33)-SUM($F35:H35)),0)&lt;0,0,ROUND(MIN($V$2*3,$B$36-SUM($J$6:$J33)-SUM($F35:H35)),0)))</f>
        <v/>
      </c>
      <c r="J35" s="169" t="str">
        <f t="shared" si="1"/>
        <v/>
      </c>
      <c r="V35" s="56">
        <v>3</v>
      </c>
      <c r="W35" s="46">
        <v>2</v>
      </c>
      <c r="X35" s="46">
        <v>2</v>
      </c>
      <c r="Y35" s="46">
        <v>1</v>
      </c>
      <c r="Z35" s="46">
        <v>1</v>
      </c>
      <c r="AA35" s="46">
        <v>1</v>
      </c>
      <c r="AB35" s="46">
        <v>1</v>
      </c>
      <c r="AC35" s="46">
        <v>1</v>
      </c>
      <c r="AD35" s="46">
        <v>1</v>
      </c>
      <c r="AE35" s="46">
        <v>1</v>
      </c>
      <c r="AF35" s="46">
        <v>1</v>
      </c>
      <c r="AG35" s="46">
        <v>1</v>
      </c>
      <c r="AH35" s="43">
        <v>1</v>
      </c>
    </row>
    <row r="36" spans="1:34" ht="13" x14ac:dyDescent="0.3">
      <c r="A36" s="68" t="s">
        <v>76</v>
      </c>
      <c r="B36" s="76">
        <f>IF(MIN(IF(B14="Y",B25-B32,B27-B32),100000-B33-B35)&lt;0,0,MIN(IF(B14="Y",B25-B32,B27-B32),100000-B33-B34))</f>
        <v>0</v>
      </c>
      <c r="C36" s="69"/>
      <c r="E36" s="167" t="str">
        <f t="shared" si="2"/>
        <v/>
      </c>
      <c r="F36" s="170" t="str">
        <f>IF(OR(I35="",I35=0),"",IF(ROUND(MIN($V$2*3,$B$36-SUM($J$6:$J35)),0)&lt;0,0,ROUND(MIN($V$2*3,$B$36-SUM($J$6:$J35)),0)))</f>
        <v/>
      </c>
      <c r="G36" s="170" t="str">
        <f>IF(OR(F36="",F36=0),"",IF(ROUND(MIN($V$2*3,$B$36-SUM($J$6:$J35)-SUM($F36:F36)),0)&lt;0,0,ROUND(MIN($V$2*3,$B$36-SUM($J$6:$J35)-SUM($F36:F36)),0)))</f>
        <v/>
      </c>
      <c r="H36" s="170" t="str">
        <f>IF(OR(G36="",G36=0),"",IF(ROUND(MIN($V$2*3,$B$36-SUM($J$6:$J35)-SUM($F36:G36)),0)&lt;0,0,ROUND(MIN($V$2*3,$B$36-SUM($J$6:$J35)-SUM($F36:G36)),0)))</f>
        <v/>
      </c>
      <c r="I36" s="170" t="str">
        <f>IF(OR(H36="",H36=0),"",IF(ROUND(MIN($V$2*3,$B$36-SUM($J$6:$J35)-SUM($F36:H36)),0)&lt;0,0,ROUND(MIN($V$2*3,$B$36-SUM($J$6:$J35)-SUM($F36:H36)),0)))</f>
        <v/>
      </c>
      <c r="J36" s="171" t="str">
        <f t="shared" si="1"/>
        <v/>
      </c>
      <c r="R36" s="57" t="s">
        <v>11</v>
      </c>
      <c r="V36" s="56">
        <v>4</v>
      </c>
      <c r="W36" s="46">
        <v>2</v>
      </c>
      <c r="X36" s="46">
        <v>2</v>
      </c>
      <c r="Y36" s="46">
        <v>2</v>
      </c>
      <c r="Z36" s="46">
        <v>1</v>
      </c>
      <c r="AA36" s="46">
        <v>1</v>
      </c>
      <c r="AB36" s="46">
        <v>1</v>
      </c>
      <c r="AC36" s="46">
        <v>1</v>
      </c>
      <c r="AD36" s="46">
        <v>1</v>
      </c>
      <c r="AE36" s="46">
        <v>1</v>
      </c>
      <c r="AF36" s="46">
        <v>1</v>
      </c>
      <c r="AG36" s="46">
        <v>1</v>
      </c>
      <c r="AH36" s="43">
        <v>1</v>
      </c>
    </row>
    <row r="37" spans="1:34" ht="13.5" thickBot="1" x14ac:dyDescent="0.3">
      <c r="A37" s="77"/>
      <c r="B37" s="75"/>
      <c r="C37" s="69"/>
      <c r="E37" s="172" t="str">
        <f t="shared" si="2"/>
        <v/>
      </c>
      <c r="F37" s="173" t="str">
        <f>IF(OR(I36="",I36=0),"",IF(ROUND(MIN($V$2*3,$B$36-SUM($J$6:$J36)),0)&lt;0,0,ROUND(MIN($V$2*3,$B$36-SUM($J$6:$J36)),0)))</f>
        <v/>
      </c>
      <c r="G37" s="173" t="str">
        <f>IF(OR(F37="",F37=0),"",IF(ROUND(MIN($V$2*3,$B$36-SUM($J$6:$J36)-SUM($F37:F37)),0)&lt;0,0,ROUND(MIN($V$2*3,$B$36-SUM($J$6:$J36)-SUM($F37:F37)),0)))</f>
        <v/>
      </c>
      <c r="H37" s="173" t="str">
        <f>IF(OR(G37="",G37=0),"",IF(ROUND(MIN($V$2*3,$B$36-SUM($J$6:$J36)-SUM($F37:G37)),0)&lt;0,0,ROUND(MIN($V$2*3,$B$36-SUM($J$6:$J36)-SUM($F37:G37)),0)))</f>
        <v/>
      </c>
      <c r="I37" s="173" t="str">
        <f>IF(OR(H37="",H37=0),"",IF(ROUND(MIN($V$2*3,$B$36-SUM($J$6:$J36)-SUM($F37:H37)),0)&lt;0,0,ROUND(MIN($V$2*3,$B$36-SUM($J$6:$J36)-SUM($F37:H37)),0)))</f>
        <v/>
      </c>
      <c r="J37" s="174" t="str">
        <f t="shared" si="1"/>
        <v/>
      </c>
      <c r="R37" s="58">
        <v>44957</v>
      </c>
      <c r="U37" s="59"/>
      <c r="V37" s="56">
        <v>5</v>
      </c>
      <c r="W37" s="46">
        <v>2</v>
      </c>
      <c r="X37" s="46">
        <v>2</v>
      </c>
      <c r="Y37" s="46">
        <v>2</v>
      </c>
      <c r="Z37" s="46">
        <v>2</v>
      </c>
      <c r="AA37" s="46">
        <v>1</v>
      </c>
      <c r="AB37" s="46">
        <v>1</v>
      </c>
      <c r="AC37" s="46">
        <v>1</v>
      </c>
      <c r="AD37" s="46">
        <v>1</v>
      </c>
      <c r="AE37" s="46">
        <v>1</v>
      </c>
      <c r="AF37" s="46">
        <v>1</v>
      </c>
      <c r="AG37" s="46">
        <v>1</v>
      </c>
      <c r="AH37" s="43">
        <v>1</v>
      </c>
    </row>
    <row r="38" spans="1:34" ht="13.5" thickBot="1" x14ac:dyDescent="0.35">
      <c r="A38" s="68"/>
      <c r="B38" s="70"/>
      <c r="C38" s="69"/>
      <c r="D38" s="78"/>
      <c r="E38" s="194" t="s">
        <v>1</v>
      </c>
      <c r="F38" s="176"/>
      <c r="G38" s="176"/>
      <c r="H38" s="176"/>
      <c r="I38" s="176"/>
      <c r="J38" s="177">
        <f>SUM(J6:J36)</f>
        <v>0</v>
      </c>
      <c r="R38" s="58">
        <v>44985</v>
      </c>
      <c r="V38" s="56">
        <v>6</v>
      </c>
      <c r="W38" s="46">
        <v>2</v>
      </c>
      <c r="X38" s="46">
        <v>2</v>
      </c>
      <c r="Y38" s="46">
        <v>2</v>
      </c>
      <c r="Z38" s="46">
        <v>2</v>
      </c>
      <c r="AA38" s="46">
        <v>2</v>
      </c>
      <c r="AB38" s="46">
        <v>1</v>
      </c>
      <c r="AC38" s="46">
        <v>1</v>
      </c>
      <c r="AD38" s="46">
        <v>1</v>
      </c>
      <c r="AE38" s="46">
        <v>1</v>
      </c>
      <c r="AF38" s="46">
        <v>1</v>
      </c>
      <c r="AG38" s="46">
        <v>1</v>
      </c>
      <c r="AH38" s="43">
        <v>1</v>
      </c>
    </row>
    <row r="39" spans="1:34" ht="13.5" thickBot="1" x14ac:dyDescent="0.3">
      <c r="A39" s="65" t="s">
        <v>17</v>
      </c>
      <c r="B39" s="71"/>
      <c r="C39" s="67"/>
      <c r="E39" s="178" t="s">
        <v>66</v>
      </c>
      <c r="R39" s="58">
        <v>45016</v>
      </c>
      <c r="V39" s="56">
        <v>7</v>
      </c>
      <c r="W39" s="46">
        <v>2</v>
      </c>
      <c r="X39" s="46">
        <v>2</v>
      </c>
      <c r="Y39" s="46">
        <v>2</v>
      </c>
      <c r="Z39" s="46">
        <v>2</v>
      </c>
      <c r="AA39" s="46">
        <v>2</v>
      </c>
      <c r="AB39" s="46">
        <v>2</v>
      </c>
      <c r="AC39" s="46">
        <v>1</v>
      </c>
      <c r="AD39" s="46">
        <v>1</v>
      </c>
      <c r="AE39" s="46">
        <v>1</v>
      </c>
      <c r="AF39" s="46">
        <v>1</v>
      </c>
      <c r="AG39" s="46">
        <v>1</v>
      </c>
      <c r="AH39" s="43">
        <v>1</v>
      </c>
    </row>
    <row r="40" spans="1:34" ht="12" customHeight="1" x14ac:dyDescent="0.25">
      <c r="A40" s="79"/>
      <c r="B40" s="70"/>
      <c r="C40" s="69"/>
      <c r="E40" s="180"/>
      <c r="F40" s="181"/>
      <c r="G40" s="181"/>
      <c r="H40" s="181"/>
      <c r="I40" s="181"/>
      <c r="J40" s="182"/>
      <c r="R40" s="58">
        <v>45046</v>
      </c>
      <c r="V40" s="56">
        <v>8</v>
      </c>
      <c r="W40" s="46">
        <v>2</v>
      </c>
      <c r="X40" s="46">
        <v>2</v>
      </c>
      <c r="Y40" s="46">
        <v>2</v>
      </c>
      <c r="Z40" s="46">
        <v>2</v>
      </c>
      <c r="AA40" s="46">
        <v>2</v>
      </c>
      <c r="AB40" s="46">
        <v>2</v>
      </c>
      <c r="AC40" s="46">
        <v>2</v>
      </c>
      <c r="AD40" s="46">
        <v>1</v>
      </c>
      <c r="AE40" s="46">
        <v>1</v>
      </c>
      <c r="AF40" s="46">
        <v>1</v>
      </c>
      <c r="AG40" s="46">
        <v>1</v>
      </c>
      <c r="AH40" s="43">
        <v>1</v>
      </c>
    </row>
    <row r="41" spans="1:34" ht="12" customHeight="1" x14ac:dyDescent="0.25">
      <c r="A41" s="68" t="s">
        <v>61</v>
      </c>
      <c r="B41" s="70"/>
      <c r="C41" s="69"/>
      <c r="E41" s="182"/>
      <c r="F41" s="181"/>
      <c r="G41" s="181"/>
      <c r="H41" s="181"/>
      <c r="I41" s="181"/>
      <c r="J41" s="182"/>
      <c r="R41" s="58">
        <v>45077</v>
      </c>
      <c r="V41" s="56">
        <v>9</v>
      </c>
      <c r="W41" s="46">
        <v>2</v>
      </c>
      <c r="X41" s="46">
        <v>2</v>
      </c>
      <c r="Y41" s="46">
        <v>2</v>
      </c>
      <c r="Z41" s="46">
        <v>2</v>
      </c>
      <c r="AA41" s="46">
        <v>2</v>
      </c>
      <c r="AB41" s="46">
        <v>2</v>
      </c>
      <c r="AC41" s="46">
        <v>2</v>
      </c>
      <c r="AD41" s="46">
        <v>2</v>
      </c>
      <c r="AE41" s="46">
        <v>1</v>
      </c>
      <c r="AF41" s="46">
        <v>1</v>
      </c>
      <c r="AG41" s="46">
        <v>1</v>
      </c>
      <c r="AH41" s="43">
        <v>1</v>
      </c>
    </row>
    <row r="42" spans="1:34" ht="12" customHeight="1" x14ac:dyDescent="0.25">
      <c r="A42" s="80"/>
      <c r="B42" s="70"/>
      <c r="C42" s="69"/>
      <c r="E42" s="183"/>
      <c r="F42" s="184"/>
      <c r="G42" s="185"/>
      <c r="H42" s="186"/>
      <c r="I42" s="187"/>
      <c r="J42" s="188"/>
      <c r="R42" s="58">
        <v>45107</v>
      </c>
      <c r="V42" s="56">
        <v>10</v>
      </c>
      <c r="W42" s="46">
        <v>2</v>
      </c>
      <c r="X42" s="46">
        <v>2</v>
      </c>
      <c r="Y42" s="46">
        <v>2</v>
      </c>
      <c r="Z42" s="46">
        <v>2</v>
      </c>
      <c r="AA42" s="46">
        <v>2</v>
      </c>
      <c r="AB42" s="46">
        <v>2</v>
      </c>
      <c r="AC42" s="46">
        <v>2</v>
      </c>
      <c r="AD42" s="46">
        <v>2</v>
      </c>
      <c r="AE42" s="46">
        <v>2</v>
      </c>
      <c r="AF42" s="46">
        <v>1</v>
      </c>
      <c r="AG42" s="46">
        <v>1</v>
      </c>
      <c r="AH42" s="43">
        <v>1</v>
      </c>
    </row>
    <row r="43" spans="1:34" ht="12" customHeight="1" x14ac:dyDescent="0.25">
      <c r="A43" s="68" t="s">
        <v>64</v>
      </c>
      <c r="B43" s="14">
        <f>'IA IPRs 1'!B42</f>
        <v>0</v>
      </c>
      <c r="C43" s="69"/>
      <c r="E43" s="183"/>
      <c r="F43" s="186"/>
      <c r="G43" s="189"/>
      <c r="H43" s="186"/>
      <c r="I43" s="187"/>
      <c r="J43" s="190"/>
      <c r="R43" s="58">
        <v>45138</v>
      </c>
      <c r="V43" s="56">
        <v>11</v>
      </c>
      <c r="W43" s="46">
        <v>2</v>
      </c>
      <c r="X43" s="46">
        <v>2</v>
      </c>
      <c r="Y43" s="46">
        <v>2</v>
      </c>
      <c r="Z43" s="46">
        <v>2</v>
      </c>
      <c r="AA43" s="46">
        <v>2</v>
      </c>
      <c r="AB43" s="46">
        <v>2</v>
      </c>
      <c r="AC43" s="46">
        <v>2</v>
      </c>
      <c r="AD43" s="46">
        <v>2</v>
      </c>
      <c r="AE43" s="46">
        <v>2</v>
      </c>
      <c r="AF43" s="46">
        <v>2</v>
      </c>
      <c r="AG43" s="46">
        <v>1</v>
      </c>
      <c r="AH43" s="43">
        <v>1</v>
      </c>
    </row>
    <row r="44" spans="1:34" ht="12" customHeight="1" thickBot="1" x14ac:dyDescent="0.3">
      <c r="A44" s="68" t="s">
        <v>65</v>
      </c>
      <c r="B44" s="14">
        <f>'IA IPRs 1'!B43</f>
        <v>0</v>
      </c>
      <c r="C44" s="69"/>
      <c r="E44" s="191"/>
      <c r="F44" s="186"/>
      <c r="G44" s="186"/>
      <c r="H44" s="186"/>
      <c r="I44" s="186"/>
      <c r="J44" s="192"/>
      <c r="R44" s="58">
        <v>45169</v>
      </c>
      <c r="V44" s="60">
        <v>12</v>
      </c>
      <c r="W44" s="52">
        <v>2</v>
      </c>
      <c r="X44" s="52">
        <v>2</v>
      </c>
      <c r="Y44" s="52">
        <v>2</v>
      </c>
      <c r="Z44" s="52">
        <v>2</v>
      </c>
      <c r="AA44" s="52">
        <v>2</v>
      </c>
      <c r="AB44" s="52">
        <v>2</v>
      </c>
      <c r="AC44" s="52">
        <v>2</v>
      </c>
      <c r="AD44" s="52">
        <v>2</v>
      </c>
      <c r="AE44" s="52">
        <v>2</v>
      </c>
      <c r="AF44" s="52">
        <v>2</v>
      </c>
      <c r="AG44" s="52">
        <v>2</v>
      </c>
      <c r="AH44" s="53">
        <v>1</v>
      </c>
    </row>
    <row r="45" spans="1:34" ht="12" customHeight="1" x14ac:dyDescent="0.25">
      <c r="A45" s="68"/>
      <c r="C45" s="69"/>
      <c r="E45" s="193"/>
      <c r="F45" s="193"/>
      <c r="G45" s="193"/>
      <c r="H45" s="193"/>
      <c r="I45" s="193"/>
      <c r="J45" s="193"/>
      <c r="R45" s="58">
        <v>45199</v>
      </c>
    </row>
    <row r="46" spans="1:34" ht="12" customHeight="1" x14ac:dyDescent="0.25">
      <c r="A46" s="81" t="s">
        <v>26</v>
      </c>
      <c r="B46" s="82" t="str">
        <f>IF(IF(ISERROR(IF(B43&gt;V9,YEAR(V9)+2,YEAR(V9)+1)),”Please enter the correct relevant period”, IF(B43&gt;V9,YEAR(V9)+2,YEAR(V9)+1))=1901,"",IF(ISERROR(IF(B43&gt;V9,YEAR(V9)+2,YEAR(V9)+1)), "Please enter the correct relevant period", IF(B43&gt;V9,YEAR(V9)+2,YEAR(V9)+1)))</f>
        <v/>
      </c>
      <c r="C46" s="69"/>
      <c r="E46" s="193"/>
      <c r="F46" s="193"/>
      <c r="G46" s="193"/>
      <c r="H46" s="193"/>
      <c r="I46" s="193"/>
      <c r="J46" s="193"/>
      <c r="R46" s="58">
        <v>45230</v>
      </c>
    </row>
    <row r="47" spans="1:34" ht="12" customHeight="1" thickBot="1" x14ac:dyDescent="0.3">
      <c r="A47" s="80"/>
      <c r="B47" s="82"/>
      <c r="C47" s="69"/>
      <c r="E47" s="193"/>
      <c r="F47" s="193"/>
      <c r="G47" s="193"/>
      <c r="H47" s="193"/>
      <c r="I47" s="193"/>
      <c r="J47" s="193"/>
      <c r="R47" s="58">
        <v>45260</v>
      </c>
    </row>
    <row r="48" spans="1:34" ht="12" customHeight="1" thickBot="1" x14ac:dyDescent="0.3">
      <c r="A48" s="80" t="s">
        <v>27</v>
      </c>
      <c r="B48" s="83" t="str">
        <f>IF(ISERROR(INDEX(W26:Z29,MATCH(TEXT(MONTH(B43),0),V26:V29,0),MATCH((YEAR(B44)-YEAR(B43))*12+MONTH(B44)-MONTH(B43),W25:Z25,0))),"Please enter the correct relevant period",INDEX(W26:Z29,MATCH(TEXT(MONTH(B43),0),V26:V29,0),MATCH((YEAR(B44)-YEAR(B43))*12+MONTH(B44)-MONTH(B43),W25:Z25,0)))</f>
        <v>Please enter the correct relevant period</v>
      </c>
      <c r="C48" s="69"/>
      <c r="E48" s="193"/>
      <c r="F48" s="193"/>
      <c r="G48" s="193"/>
      <c r="H48" s="193"/>
      <c r="I48" s="193"/>
      <c r="J48" s="193"/>
      <c r="R48" s="61">
        <v>45291</v>
      </c>
    </row>
    <row r="49" spans="1:18" ht="12" customHeight="1" x14ac:dyDescent="0.25">
      <c r="A49" s="68"/>
      <c r="B49" s="70" t="s">
        <v>18</v>
      </c>
      <c r="C49" s="69"/>
      <c r="R49" s="62"/>
    </row>
    <row r="50" spans="1:18" ht="12" customHeight="1" thickBot="1" x14ac:dyDescent="0.3">
      <c r="A50" s="84"/>
      <c r="B50" s="85"/>
      <c r="C50" s="86"/>
    </row>
    <row r="52" spans="1:18" x14ac:dyDescent="0.25">
      <c r="R52" s="62"/>
    </row>
  </sheetData>
  <sheetProtection algorithmName="SHA-512" hashValue="3ZMre1iasjaxU1Gr7ucJEUeZ4I6x0SfKuVLnCLe5bvsS2tnBVPIZwjl9fTNynrz151BkmAb86jzQ20/eWoutLQ==" saltValue="qnQGFE3B3ZWrn5+JOI796w==" spinCount="100000" sheet="1"/>
  <mergeCells count="14">
    <mergeCell ref="E42:E43"/>
    <mergeCell ref="I42:I43"/>
    <mergeCell ref="E45:J48"/>
    <mergeCell ref="L2:M2"/>
    <mergeCell ref="N2:O2"/>
    <mergeCell ref="R2:S2"/>
    <mergeCell ref="W24:Z24"/>
    <mergeCell ref="U25:U29"/>
    <mergeCell ref="A3:C9"/>
    <mergeCell ref="E4:E5"/>
    <mergeCell ref="F4:I4"/>
    <mergeCell ref="J4:J5"/>
    <mergeCell ref="A1:C2"/>
    <mergeCell ref="E1:J2"/>
  </mergeCells>
  <dataValidations count="7">
    <dataValidation allowBlank="1" showInputMessage="1" showErrorMessage="1" promptTitle="Note" prompt="Enter the qualifying costs for all other activities claimed for the YA, including:_x000a__x000a_1) Training_x000a_2) Innovation projects_x000a_3) IPR acquisition and registration_x000a_4) R&amp;D_x000a__x000a_(Exclude HP equipment for the YA)" sqref="B33" xr:uid="{00000000-0002-0000-0300-000000000000}"/>
    <dataValidation allowBlank="1" showInputMessage="1" showErrorMessage="1" promptTitle="Note" sqref="B34" xr:uid="{00000000-0002-0000-0300-000001000000}"/>
    <dataValidation allowBlank="1" showInputMessage="1" showErrorMessage="1" promptTitle="Note" prompt="Enter non-qualifying costs included in the cash purchase price (B8). E.g. Government grant, subsidy, etc." sqref="B32" xr:uid="{00000000-0002-0000-0300-000002000000}"/>
    <dataValidation allowBlank="1" showInputMessage="1" showErrorMessage="1" promptTitle="Note" prompt="Cash purchase price as per invoice_x000a__x000a_This amount should not include the amount of:_x000a_- GST (to be entered in B9) _x000a_- Term Charges/ HP interest (to be entered in B12)" sqref="B25" xr:uid="{00000000-0002-0000-0300-000003000000}"/>
    <dataValidation type="date" allowBlank="1" showInputMessage="1" showErrorMessage="1" errorTitle="Error" error="Please enter a valid date in the format dd/mm/yyyy." promptTitle="Note" sqref="B43" xr:uid="{00000000-0002-0000-0300-000004000000}">
      <formula1>44927</formula1>
      <formula2>46752</formula2>
    </dataValidation>
    <dataValidation type="date" operator="lessThanOrEqual" allowBlank="1" showInputMessage="1" showErrorMessage="1" sqref="B44" xr:uid="{00000000-0002-0000-0300-000005000000}">
      <formula1>46752</formula1>
    </dataValidation>
    <dataValidation type="date" allowBlank="1" showInputMessage="1" showErrorMessage="1" sqref="B18:B19" xr:uid="{00000000-0002-0000-0300-000006000000}">
      <formula1>44927</formula1>
      <formula2>46752</formula2>
    </dataValidation>
  </dataValidations>
  <pageMargins left="0.74803040244969399" right="0.74803040244969399" top="0.98425196850393704" bottom="0.98425196850393704" header="0.51180993000874897" footer="0.51180993000874897"/>
  <ignoredErrors>
    <ignoredError sqref="B11:B1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1"/>
  <sheetViews>
    <sheetView showGridLines="0" zoomScale="110" zoomScaleNormal="110" workbookViewId="0">
      <selection activeCell="A2" sqref="A1:D1048576"/>
    </sheetView>
  </sheetViews>
  <sheetFormatPr defaultColWidth="9" defaultRowHeight="12.5" x14ac:dyDescent="0.25"/>
  <cols>
    <col min="1" max="1" width="5" style="1" customWidth="1"/>
    <col min="2" max="2" width="27.08203125" style="1" customWidth="1"/>
    <col min="3" max="3" width="4.75" style="1" customWidth="1"/>
    <col min="4" max="4" width="52" style="1" customWidth="1"/>
    <col min="5" max="5" width="9" style="1" customWidth="1"/>
    <col min="6" max="16384" width="9" style="1"/>
  </cols>
  <sheetData>
    <row r="1" spans="1:5" ht="39" customHeight="1" x14ac:dyDescent="0.25">
      <c r="A1" s="146" t="s">
        <v>102</v>
      </c>
      <c r="B1" s="146"/>
      <c r="C1" s="146"/>
      <c r="D1" s="146"/>
      <c r="E1" s="13"/>
    </row>
    <row r="2" spans="1:5" ht="13" x14ac:dyDescent="0.25">
      <c r="A2" s="13"/>
      <c r="B2" s="13"/>
      <c r="C2" s="13"/>
      <c r="D2" s="13"/>
      <c r="E2" s="13"/>
    </row>
    <row r="3" spans="1:5" ht="13" x14ac:dyDescent="0.25">
      <c r="A3" s="12"/>
      <c r="B3" s="12"/>
      <c r="C3" s="12"/>
      <c r="D3" s="12"/>
      <c r="E3" s="12"/>
    </row>
    <row r="4" spans="1:5" ht="13" x14ac:dyDescent="0.3">
      <c r="A4" s="102" t="s">
        <v>37</v>
      </c>
      <c r="B4" s="102" t="s">
        <v>38</v>
      </c>
      <c r="C4" s="102"/>
      <c r="D4" s="99" t="s">
        <v>39</v>
      </c>
      <c r="E4" s="12"/>
    </row>
    <row r="5" spans="1:5" ht="13" x14ac:dyDescent="0.3">
      <c r="A5" s="102"/>
      <c r="B5" s="102"/>
      <c r="C5" s="102"/>
      <c r="D5" s="99"/>
      <c r="E5" s="12"/>
    </row>
    <row r="6" spans="1:5" ht="39" customHeight="1" x14ac:dyDescent="0.25">
      <c r="A6" s="94" t="s">
        <v>40</v>
      </c>
      <c r="B6" s="104" t="s">
        <v>79</v>
      </c>
      <c r="C6" s="104"/>
      <c r="D6" s="105" t="s">
        <v>80</v>
      </c>
      <c r="E6" s="11"/>
    </row>
    <row r="7" spans="1:5" x14ac:dyDescent="0.25">
      <c r="A7" s="94"/>
      <c r="B7" s="104"/>
      <c r="C7" s="104"/>
      <c r="D7" s="96"/>
      <c r="E7" s="11"/>
    </row>
    <row r="8" spans="1:5" x14ac:dyDescent="0.25">
      <c r="A8" s="95" t="s">
        <v>42</v>
      </c>
      <c r="B8" s="11" t="s">
        <v>41</v>
      </c>
      <c r="C8" s="11"/>
      <c r="D8" s="141" t="s">
        <v>81</v>
      </c>
      <c r="E8" s="11"/>
    </row>
    <row r="9" spans="1:5" x14ac:dyDescent="0.25">
      <c r="A9" s="95" t="s">
        <v>47</v>
      </c>
      <c r="B9" s="11" t="s">
        <v>43</v>
      </c>
      <c r="C9" s="11"/>
      <c r="D9" s="142"/>
      <c r="E9" s="11"/>
    </row>
    <row r="10" spans="1:5" x14ac:dyDescent="0.25">
      <c r="A10" s="1" t="s">
        <v>48</v>
      </c>
      <c r="B10" s="11" t="s">
        <v>44</v>
      </c>
      <c r="C10" s="11"/>
      <c r="D10" s="142"/>
    </row>
    <row r="11" spans="1:5" x14ac:dyDescent="0.25">
      <c r="A11" s="1" t="s">
        <v>49</v>
      </c>
      <c r="B11" s="11" t="s">
        <v>45</v>
      </c>
      <c r="C11" s="11"/>
      <c r="D11" s="142"/>
    </row>
    <row r="12" spans="1:5" x14ac:dyDescent="0.25">
      <c r="A12" s="1" t="s">
        <v>50</v>
      </c>
      <c r="B12" s="11" t="s">
        <v>46</v>
      </c>
      <c r="C12" s="11"/>
      <c r="D12" s="142"/>
    </row>
    <row r="14" spans="1:5" ht="54" customHeight="1" x14ac:dyDescent="0.25">
      <c r="A14" s="104" t="s">
        <v>51</v>
      </c>
      <c r="B14" s="104" t="s">
        <v>52</v>
      </c>
      <c r="C14" s="104"/>
      <c r="D14" s="106" t="s">
        <v>82</v>
      </c>
    </row>
    <row r="16" spans="1:5" ht="54.75" customHeight="1" x14ac:dyDescent="0.25">
      <c r="A16" s="104" t="s">
        <v>53</v>
      </c>
      <c r="B16" s="11" t="s">
        <v>54</v>
      </c>
      <c r="C16" s="11"/>
      <c r="D16" s="107" t="s">
        <v>86</v>
      </c>
    </row>
    <row r="17" spans="1:4" ht="14.25" customHeight="1" x14ac:dyDescent="0.25">
      <c r="D17" s="108" t="s">
        <v>83</v>
      </c>
    </row>
    <row r="18" spans="1:4" ht="14.25" customHeight="1" x14ac:dyDescent="0.25">
      <c r="D18" s="109" t="s">
        <v>84</v>
      </c>
    </row>
    <row r="19" spans="1:4" x14ac:dyDescent="0.25">
      <c r="D19" s="103"/>
    </row>
    <row r="20" spans="1:4" ht="45" customHeight="1" x14ac:dyDescent="0.25">
      <c r="A20" s="110" t="s">
        <v>55</v>
      </c>
      <c r="B20" s="143" t="s">
        <v>92</v>
      </c>
      <c r="C20" s="143"/>
      <c r="D20" s="144"/>
    </row>
    <row r="21" spans="1:4" ht="84.75" customHeight="1" x14ac:dyDescent="0.25">
      <c r="B21" s="143" t="s">
        <v>85</v>
      </c>
      <c r="C21" s="143"/>
      <c r="D21" s="145"/>
    </row>
  </sheetData>
  <sheetProtection algorithmName="SHA-512" hashValue="x9lW1mUnh2wDmkP7S6uhnDbJRWaim9bHeuLZA/wvf3HmstzleUBIbSJ+rmB3Q9kMyUVJjCMTrxRCihEOufogyQ==" saltValue="uZhSjxOWPAsXJ+YiWu4H/A==" spinCount="100000" sheet="1" objects="1" scenarios="1"/>
  <mergeCells count="4">
    <mergeCell ref="D8:D12"/>
    <mergeCell ref="B20:D20"/>
    <mergeCell ref="B21:D21"/>
    <mergeCell ref="A1:D1"/>
  </mergeCells>
  <printOptions horizontalCentered="1"/>
  <pageMargins left="0.39370078740157483" right="0.39370078740157483" top="0.74803149606299213" bottom="0.74803149606299213" header="0.31496062992125984" footer="0.31496062992125984"/>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4gdicFxWi3PsFvwx+v0D1fTmI2jMHThD8Zb85HKMg6o=</DigestValue>
    </Reference>
    <Reference Type="http://www.w3.org/2000/09/xmldsig#Object" URI="#idOfficeObject">
      <DigestMethod Algorithm="http://www.w3.org/2001/04/xmlenc#sha256"/>
      <DigestValue>Oz07XDeNlZ8Ati+DdezdFAl+greFXz+k5Rv46Fts7DQ=</DigestValue>
    </Reference>
    <Reference Type="http://uri.etsi.org/01903#SignedProperties" URI="#idSignedProperties">
      <Transforms>
        <Transform Algorithm="http://www.w3.org/TR/2001/REC-xml-c14n-20010315"/>
      </Transforms>
      <DigestMethod Algorithm="http://www.w3.org/2001/04/xmlenc#sha256"/>
      <DigestValue>7vIFgqzClnldMXNrGdfgTsbnq3TSXIPAohT+SDiCr4Q=</DigestValue>
    </Reference>
  </SignedInfo>
  <SignatureValue>E1/vsTNvG0gXz2A58RsOx6TALv2Qfb6ebfMW6dEKXYHKDv1N6gyiioKqPD3+ZF12hmRvqt1QOweA
oeDbtz7NTREKm/bTbluvdBkRsGlX7u0w7Wy411RqqNO2OPWLKQGpE+BGLB0uyhPdujqY22T58MN3
wOtuQQMMwlbCmHJip9pUXfj1UeSEWhXGNUN1ACp9+70e3U1QGfh0m1fS+Vfj6ozV9jES2LN+SyYQ
qrIzsKfL4t87udeR/dydPTFwhPKhJjAY/1vdG8ZqvU7l36Q+CDWamQ4BiUwnyIDGsA2EXDs6Rq3V
gHTzdbCb+MeMP7QlnYtOF4eq99EesWfIDHcZNw==</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8AzC1Oyg/GYVkBigP1UWHSmrFbUrv4QUf3M9yWfOThs=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kspua8i1iIpLDu2ZpAc75I0vzvco+rxxXd7FSiH9J8E=</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kspua8i1iIpLDu2ZpAc75I0vzvco+rxxXd7FSiH9J8E=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kspua8i1iIpLDu2ZpAc75I0vzvco+rxxXd7FSiH9J8E=</DigestValue>
      </Reference>
      <Reference URI="/xl/drawings/drawing1.xml?ContentType=application/vnd.openxmlformats-officedocument.drawing+xml">
        <DigestMethod Algorithm="http://www.w3.org/2001/04/xmlenc#sha256"/>
        <DigestValue>e+u8IsyBXvvRXMAKHb7/RGanyeMjeHhMVuoRH2PbVKU=</DigestValue>
      </Reference>
      <Reference URI="/xl/drawings/drawing2.xml?ContentType=application/vnd.openxmlformats-officedocument.drawing+xml">
        <DigestMethod Algorithm="http://www.w3.org/2001/04/xmlenc#sha256"/>
        <DigestValue>W4Nb/SJfiiMsBTpeFgyLiAHf1HeGgYvR5zoTI0M59KY=</DigestValue>
      </Reference>
      <Reference URI="/xl/drawings/drawing3.xml?ContentType=application/vnd.openxmlformats-officedocument.drawing+xml">
        <DigestMethod Algorithm="http://www.w3.org/2001/04/xmlenc#sha256"/>
        <DigestValue>kmilkxRjXVy9HJ5PAsptRe7BCIWMbZvdsTn1YzrKR74=</DigestValue>
      </Reference>
      <Reference URI="/xl/drawings/drawing4.xml?ContentType=application/vnd.openxmlformats-officedocument.drawing+xml">
        <DigestMethod Algorithm="http://www.w3.org/2001/04/xmlenc#sha256"/>
        <DigestValue>KhBTM+afo/jm9VXYsaJ2mea6ASUVm6bGWbvpRI5fJ8Y=</DigestValue>
      </Reference>
      <Reference URI="/xl/media/image1.wmf?ContentType=image/x-wmf">
        <DigestMethod Algorithm="http://www.w3.org/2001/04/xmlenc#sha256"/>
        <DigestValue>YPdVPHu3w78/IT8ghuU1dkZQnqshWIhams/zowsn9xI=</DigestValue>
      </Reference>
      <Reference URI="/xl/sharedStrings.xml?ContentType=application/vnd.openxmlformats-officedocument.spreadsheetml.sharedStrings+xml">
        <DigestMethod Algorithm="http://www.w3.org/2001/04/xmlenc#sha256"/>
        <DigestValue>KDxJQyLiw11CevtyzxFsfY6RihR4CEu8v0eWht2AONc=</DigestValue>
      </Reference>
      <Reference URI="/xl/styles.xml?ContentType=application/vnd.openxmlformats-officedocument.spreadsheetml.styles+xml">
        <DigestMethod Algorithm="http://www.w3.org/2001/04/xmlenc#sha256"/>
        <DigestValue>ndqwfSRj4BK/KrXrkXVaCj+1C6/wwVssExgwj66oyqk=</DigestValue>
      </Reference>
      <Reference URI="/xl/theme/theme1.xml?ContentType=application/vnd.openxmlformats-officedocument.theme+xml">
        <DigestMethod Algorithm="http://www.w3.org/2001/04/xmlenc#sha256"/>
        <DigestValue>ry+ymqROGHV8vAOv1cbd9g3u94QZAJttBzZ//0YTb7E=</DigestValue>
      </Reference>
      <Reference URI="/xl/workbook.xml?ContentType=application/vnd.openxmlformats-officedocument.spreadsheetml.sheet.main+xml">
        <DigestMethod Algorithm="http://www.w3.org/2001/04/xmlenc#sha256"/>
        <DigestValue>gDviSLXH1QdJc6XW6pNyml13VZAtP2JCl+5S8qlYkhM=</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Transform>
          <Transform Algorithm="http://www.w3.org/TR/2001/REC-xml-c14n-20010315"/>
        </Transforms>
        <DigestMethod Algorithm="http://www.w3.org/2001/04/xmlenc#sha256"/>
        <DigestValue>Tvd19sWYPSLgJSVccK2D/ojSca+kiamuvt44EpZIpWc=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Transform>
          <Transform Algorithm="http://www.w3.org/TR/2001/REC-xml-c14n-20010315"/>
        </Transforms>
        <DigestMethod Algorithm="http://www.w3.org/2001/04/xmlenc#sha256"/>
        <DigestValue>tedf2BiM9sbsGxQkJWqbVfu/GNbRs7F/mftraAzbypw=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Transform>
          <Transform Algorithm="http://www.w3.org/TR/2001/REC-xml-c14n-20010315"/>
        </Transforms>
        <DigestMethod Algorithm="http://www.w3.org/2001/04/xmlenc#sha256"/>
        <DigestValue>6a6171NfMG6YmI66onTzZ95B09FJii8I96/llkUwqMI=</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Transform>
          <Transform Algorithm="http://www.w3.org/TR/2001/REC-xml-c14n-20010315"/>
        </Transforms>
        <DigestMethod Algorithm="http://www.w3.org/2001/04/xmlenc#sha256"/>
        <DigestValue>LCouh+HGOKeiZlX+ZlPK6me8GUxQBDTf/g6s1l2Gxok=</DigestValue>
      </Reference>
      <Reference URI="/xl/worksheets/sheet1.xml?ContentType=application/vnd.openxmlformats-officedocument.spreadsheetml.worksheet+xml">
        <DigestMethod Algorithm="http://www.w3.org/2001/04/xmlenc#sha256"/>
        <DigestValue>R+KNwGHojbkbXmamtcZnKx7zT+PL6sD38BI7MIc3Unw=</DigestValue>
      </Reference>
      <Reference URI="/xl/worksheets/sheet2.xml?ContentType=application/vnd.openxmlformats-officedocument.spreadsheetml.worksheet+xml">
        <DigestMethod Algorithm="http://www.w3.org/2001/04/xmlenc#sha256"/>
        <DigestValue>OjYZ57jGp83QW/IWc/h+5g71Q9pi8Z+NHDFoh5D7Gw8=</DigestValue>
      </Reference>
      <Reference URI="/xl/worksheets/sheet3.xml?ContentType=application/vnd.openxmlformats-officedocument.spreadsheetml.worksheet+xml">
        <DigestMethod Algorithm="http://www.w3.org/2001/04/xmlenc#sha256"/>
        <DigestValue>nI8rm0sxmpQk/bRrjRdV3bF1/b8yvo9Y/VrS/McsiSQ=</DigestValue>
      </Reference>
      <Reference URI="/xl/worksheets/sheet4.xml?ContentType=application/vnd.openxmlformats-officedocument.spreadsheetml.worksheet+xml">
        <DigestMethod Algorithm="http://www.w3.org/2001/04/xmlenc#sha256"/>
        <DigestValue>xVyRdDPFsX3BV06mH69ikZX1rZAmrNC3IXmEJI9YUCQ=</DigestValue>
      </Reference>
      <Reference URI="/xl/worksheets/sheet5.xml?ContentType=application/vnd.openxmlformats-officedocument.spreadsheetml.worksheet+xml">
        <DigestMethod Algorithm="http://www.w3.org/2001/04/xmlenc#sha256"/>
        <DigestValue>+2qPltvc+hjh98fXp8USdZGUTTgNckFVfKiM6aiuvi8=</DigestValue>
      </Reference>
    </Manifest>
    <SignatureProperties>
      <SignatureProperty Id="idSignatureTime" Target="#idPackageSignature">
        <mdssi:SignatureTime xmlns:mdssi="http://schemas.openxmlformats.org/package/2006/digital-signature">
          <mdssi:Format>YYYY-MM-DDThh:mm:ssTZD</mdssi:Format>
          <mdssi:Value>2024-02-15T09:46:00Z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16.0.10406/14</OfficeVersion>
          <ApplicationVersion>16.0.10406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2024-02-15T09:46:00Z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61A4B2E3F8C45BF50BB87F71A2849" ma:contentTypeVersion="0" ma:contentTypeDescription="Create a new document." ma:contentTypeScope="" ma:versionID="f185fb81ba63942fa60ea9d1d7a91015">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DA0FF-0038-4559-9AB9-5B4531374D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5122B6-9D67-4FF6-BF69-BB4143D3D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2F4CC26-4142-43C9-9A55-035ED537CD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Overview</vt:lpstr>
      <vt:lpstr>IA IPRs 1</vt:lpstr>
      <vt:lpstr>IA IPRs 2</vt:lpstr>
      <vt:lpstr>IA IPRs 3</vt:lpstr>
      <vt:lpstr>Explanatory notes on completion</vt:lpstr>
      <vt:lpstr>'Explanatory notes on completion'!Print_Area</vt:lpstr>
      <vt:lpstr>'IA IPRs 1'!Print_Area</vt:lpstr>
      <vt:lpstr>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Cheong</dc:creator>
  <cp:lastModifiedBy>Rongming LEI (IRAS)</cp:lastModifiedBy>
  <cp:lastPrinted>2024-01-15T07:31:13Z</cp:lastPrinted>
  <dcterms:created xsi:type="dcterms:W3CDTF">2013-10-04T14:41:24Z</dcterms:created>
  <dcterms:modified xsi:type="dcterms:W3CDTF">2024-02-06T10:48:29Z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db910-0838-4c35-bb3a-1ee21aa199ac_Enabled">
    <vt:lpwstr>true</vt:lpwstr>
  </property>
  <property fmtid="{D5CDD505-2E9C-101B-9397-08002B2CF9AE}" pid="3" name="MSIP_Label_153db910-0838-4c35-bb3a-1ee21aa199ac_SetDate">
    <vt:lpwstr>2023-05-03T08:21:32Z</vt:lpwstr>
  </property>
  <property fmtid="{D5CDD505-2E9C-101B-9397-08002B2CF9AE}" pid="4" name="MSIP_Label_153db910-0838-4c35-bb3a-1ee21aa199ac_Method">
    <vt:lpwstr>Privileged</vt:lpwstr>
  </property>
  <property fmtid="{D5CDD505-2E9C-101B-9397-08002B2CF9AE}" pid="5" name="MSIP_Label_153db910-0838-4c35-bb3a-1ee21aa199ac_Name">
    <vt:lpwstr>Sensitive Normal</vt:lpwstr>
  </property>
  <property fmtid="{D5CDD505-2E9C-101B-9397-08002B2CF9AE}" pid="6" name="MSIP_Label_153db910-0838-4c35-bb3a-1ee21aa199ac_SiteId">
    <vt:lpwstr>0b11c524-9a1c-4e1b-84cb-6336aefc2243</vt:lpwstr>
  </property>
  <property fmtid="{D5CDD505-2E9C-101B-9397-08002B2CF9AE}" pid="7" name="MSIP_Label_153db910-0838-4c35-bb3a-1ee21aa199ac_ActionId">
    <vt:lpwstr>c103d9a2-2fbc-4854-9ec1-f57572066ac5</vt:lpwstr>
  </property>
  <property fmtid="{D5CDD505-2E9C-101B-9397-08002B2CF9AE}" pid="8" name="MSIP_Label_153db910-0838-4c35-bb3a-1ee21aa199ac_ContentBits">
    <vt:lpwstr>0</vt:lpwstr>
  </property>
  <property fmtid="{D5CDD505-2E9C-101B-9397-08002B2CF9AE}" pid="9" name="ContentTypeId">
    <vt:lpwstr>0x01010019361A4B2E3F8C45BF50BB87F71A2849</vt:lpwstr>
  </property>
</Properties>
</file>