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codeName="ThisWorkbook" autoCompressPictures="0"/>
  <mc:AlternateContent xmlns:mc="http://schemas.openxmlformats.org/markup-compatibility/2006">
    <mc:Choice Requires="x15">
      <x15ac:absPath xmlns:x15ac="http://schemas.microsoft.com/office/spreadsheetml/2010/11/ac" url="C:\Users\INLKWRA\Desktop\Broken Link\"/>
    </mc:Choice>
  </mc:AlternateContent>
  <xr:revisionPtr revIDLastSave="0" documentId="13_ncr:1_{B10AB593-36DB-4BC0-8FA4-E48D1790D13B}" xr6:coauthVersionLast="47" xr6:coauthVersionMax="47" xr10:uidLastSave="{00000000-0000-0000-0000-000000000000}"/>
  <workbookProtection workbookAlgorithmName="SHA-512" workbookHashValue="eINvHNZ1oFI5ngzysSV1CqzefBQPQD1BZeF2YF7c5kvabpuhaZ0t/2B9SI1Fa6y2uYbV3K2aubRtiLCuRQ0o1Q==" workbookSaltValue="noFZmh/CsDEdYNOpAGXIvg==" workbookSpinCount="100000" lockStructure="1"/>
  <bookViews>
    <workbookView xWindow="-108" yWindow="-108" windowWidth="23256" windowHeight="12576" tabRatio="654" xr2:uid="{00000000-000D-0000-FFFF-FFFF00000000}"/>
  </bookViews>
  <sheets>
    <sheet name="Overview" sheetId="21" r:id="rId1"/>
    <sheet name="Specimen" sheetId="23" r:id="rId2"/>
    <sheet name="HP Equipment 1" sheetId="1" r:id="rId3"/>
    <sheet name="HP Equipment 2" sheetId="17" r:id="rId4"/>
    <sheet name="HP Equipment 3" sheetId="18" r:id="rId5"/>
    <sheet name="HP Equipment 4" sheetId="19" r:id="rId6"/>
    <sheet name="HP Equipment 5" sheetId="20" r:id="rId7"/>
  </sheets>
  <definedNames>
    <definedName name="_xlnm.Print_Area" localSheetId="2">'HP Equipment 1'!$A:$C,'HP Equipment 1'!$E:$J</definedName>
    <definedName name="_xlnm.Print_Area" localSheetId="3">'HP Equipment 2'!$A:$C,'HP Equipment 2'!$E:$J</definedName>
    <definedName name="_xlnm.Print_Area" localSheetId="4">'HP Equipment 3'!$A:$C,'HP Equipment 3'!$E:$J</definedName>
    <definedName name="_xlnm.Print_Area" localSheetId="5">'HP Equipment 4'!$A:$C,'HP Equipment 4'!$E:$J</definedName>
    <definedName name="_xlnm.Print_Area" localSheetId="6">'HP Equipment 5'!$A:$C,'HP Equipment 5'!$E:$J</definedName>
    <definedName name="_xlnm.Print_Area" localSheetId="0">Overview!$J$1</definedName>
    <definedName name="_xlnm.Print_Area" localSheetId="1">Specimen!$AE$1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7" l="1"/>
  <c r="B14" i="20"/>
  <c r="B13" i="20"/>
  <c r="B12" i="20"/>
  <c r="B11" i="20"/>
  <c r="B14" i="19"/>
  <c r="B13" i="19"/>
  <c r="B12" i="19"/>
  <c r="B11" i="19"/>
  <c r="B14" i="18"/>
  <c r="B13" i="18"/>
  <c r="B12" i="18"/>
  <c r="B11" i="18"/>
  <c r="B14" i="17"/>
  <c r="B13" i="17"/>
  <c r="B12" i="17"/>
  <c r="B11" i="17"/>
  <c r="V26" i="1" l="1"/>
  <c r="V14" i="1"/>
  <c r="V7" i="1"/>
  <c r="K32" i="23" l="1"/>
  <c r="K31" i="23"/>
  <c r="K30" i="23"/>
  <c r="N29" i="23"/>
  <c r="K29" i="23"/>
  <c r="N28" i="23"/>
  <c r="K28" i="23"/>
  <c r="N27" i="23"/>
  <c r="K27" i="23"/>
  <c r="B27" i="23"/>
  <c r="N26" i="23"/>
  <c r="K26" i="23"/>
  <c r="K25" i="23"/>
  <c r="K24" i="23"/>
  <c r="K23" i="23"/>
  <c r="N22" i="23"/>
  <c r="N21" i="23" s="1"/>
  <c r="K22" i="23"/>
  <c r="K21" i="23"/>
  <c r="K19" i="23"/>
  <c r="N18" i="23"/>
  <c r="N17" i="23" s="1"/>
  <c r="K18" i="23"/>
  <c r="K17" i="23"/>
  <c r="K16" i="23"/>
  <c r="K15" i="23"/>
  <c r="N14" i="23"/>
  <c r="K14" i="23"/>
  <c r="K13" i="23"/>
  <c r="N12" i="23"/>
  <c r="N13" i="23" s="1"/>
  <c r="K12" i="23"/>
  <c r="K11" i="23"/>
  <c r="K10" i="23"/>
  <c r="N9" i="23"/>
  <c r="B45" i="23" s="1"/>
  <c r="K9" i="23"/>
  <c r="K8" i="23"/>
  <c r="N7" i="23"/>
  <c r="N8" i="23" s="1"/>
  <c r="H29" i="23" s="1"/>
  <c r="K7" i="23"/>
  <c r="K6" i="23"/>
  <c r="K33" i="23"/>
  <c r="K5" i="23"/>
  <c r="N4" i="23"/>
  <c r="K4" i="23"/>
  <c r="B33" i="20"/>
  <c r="B33" i="19"/>
  <c r="V18" i="20"/>
  <c r="V17" i="20" s="1"/>
  <c r="V9" i="1"/>
  <c r="B45" i="1" s="1"/>
  <c r="B42" i="20"/>
  <c r="B43" i="20"/>
  <c r="E6" i="19"/>
  <c r="B42" i="19"/>
  <c r="B43" i="19"/>
  <c r="V12" i="18"/>
  <c r="V13" i="18" s="1"/>
  <c r="B33" i="18"/>
  <c r="B42" i="18"/>
  <c r="B43" i="18"/>
  <c r="B33" i="17"/>
  <c r="E6" i="17"/>
  <c r="B43" i="17"/>
  <c r="V22" i="1"/>
  <c r="V21" i="1" s="1"/>
  <c r="E6" i="1"/>
  <c r="S21" i="1" s="1"/>
  <c r="V12" i="1"/>
  <c r="V13" i="1" s="1"/>
  <c r="V18" i="1"/>
  <c r="V17" i="1" s="1"/>
  <c r="V8" i="1"/>
  <c r="V27" i="1"/>
  <c r="V28" i="1"/>
  <c r="V29" i="1"/>
  <c r="B27" i="1"/>
  <c r="B35" i="1" s="1"/>
  <c r="B34" i="17" s="1"/>
  <c r="B27" i="20"/>
  <c r="B27" i="19"/>
  <c r="B27" i="18"/>
  <c r="B27" i="17"/>
  <c r="V4" i="1"/>
  <c r="S26" i="17" l="1"/>
  <c r="S25" i="19"/>
  <c r="V3" i="20"/>
  <c r="V3" i="19"/>
  <c r="V27" i="17"/>
  <c r="V9" i="18"/>
  <c r="V9" i="20"/>
  <c r="V14" i="17"/>
  <c r="N2" i="23"/>
  <c r="B35" i="23"/>
  <c r="N3" i="23"/>
  <c r="O26" i="23"/>
  <c r="E29" i="23"/>
  <c r="G29" i="23"/>
  <c r="F29" i="23"/>
  <c r="K20" i="23"/>
  <c r="B45" i="17"/>
  <c r="B45" i="18"/>
  <c r="B45" i="20"/>
  <c r="B45" i="19"/>
  <c r="V27" i="20"/>
  <c r="V27" i="19"/>
  <c r="S20" i="17"/>
  <c r="S27" i="1"/>
  <c r="S20" i="1"/>
  <c r="S11" i="17"/>
  <c r="E6" i="20"/>
  <c r="S18" i="17"/>
  <c r="S17" i="1"/>
  <c r="S19" i="1"/>
  <c r="V3" i="1"/>
  <c r="S22" i="1"/>
  <c r="S13" i="1"/>
  <c r="S7" i="1"/>
  <c r="S18" i="19"/>
  <c r="S26" i="1"/>
  <c r="S8" i="1"/>
  <c r="S9" i="1"/>
  <c r="S32" i="1"/>
  <c r="S23" i="17"/>
  <c r="S24" i="1"/>
  <c r="S28" i="1"/>
  <c r="S15" i="1"/>
  <c r="S16" i="1"/>
  <c r="S33" i="1"/>
  <c r="S20" i="19"/>
  <c r="S31" i="1"/>
  <c r="S18" i="1"/>
  <c r="S25" i="1"/>
  <c r="S12" i="1"/>
  <c r="S4" i="1"/>
  <c r="S5" i="19"/>
  <c r="S11" i="1"/>
  <c r="S30" i="1"/>
  <c r="S29" i="1"/>
  <c r="S14" i="1"/>
  <c r="S26" i="19"/>
  <c r="S10" i="1"/>
  <c r="V2" i="1"/>
  <c r="S15" i="17"/>
  <c r="S23" i="1"/>
  <c r="S5" i="1"/>
  <c r="S6" i="1"/>
  <c r="S12" i="19"/>
  <c r="V2" i="20"/>
  <c r="V29" i="20"/>
  <c r="S28" i="19"/>
  <c r="S17" i="19"/>
  <c r="S33" i="17"/>
  <c r="S8" i="19"/>
  <c r="V3" i="18"/>
  <c r="V18" i="17"/>
  <c r="V17" i="17" s="1"/>
  <c r="V12" i="19"/>
  <c r="V13" i="19" s="1"/>
  <c r="V9" i="17"/>
  <c r="V12" i="17"/>
  <c r="V13" i="17" s="1"/>
  <c r="S8" i="17"/>
  <c r="S5" i="17"/>
  <c r="S16" i="17"/>
  <c r="V7" i="17"/>
  <c r="V8" i="17" s="1"/>
  <c r="O29" i="17" s="1"/>
  <c r="B36" i="17"/>
  <c r="V7" i="19"/>
  <c r="V8" i="19" s="1"/>
  <c r="O29" i="19" s="1"/>
  <c r="M29" i="1"/>
  <c r="O29" i="1"/>
  <c r="P29" i="1"/>
  <c r="N29" i="1"/>
  <c r="V14" i="18"/>
  <c r="V7" i="18"/>
  <c r="V8" i="18" s="1"/>
  <c r="O29" i="18" s="1"/>
  <c r="V7" i="20"/>
  <c r="V8" i="20" s="1"/>
  <c r="P29" i="20" s="1"/>
  <c r="V22" i="20"/>
  <c r="V21" i="20" s="1"/>
  <c r="V3" i="17"/>
  <c r="V4" i="17"/>
  <c r="V2" i="17"/>
  <c r="V28" i="18"/>
  <c r="V29" i="19"/>
  <c r="V18" i="19"/>
  <c r="V17" i="19" s="1"/>
  <c r="V26" i="20"/>
  <c r="V4" i="20"/>
  <c r="V12" i="20"/>
  <c r="V13" i="20" s="1"/>
  <c r="S24" i="17"/>
  <c r="S17" i="17"/>
  <c r="S10" i="17"/>
  <c r="S4" i="17"/>
  <c r="S19" i="17"/>
  <c r="S31" i="17"/>
  <c r="S6" i="17"/>
  <c r="S14" i="17"/>
  <c r="S7" i="17"/>
  <c r="S30" i="17"/>
  <c r="S25" i="17"/>
  <c r="S12" i="17"/>
  <c r="S27" i="17"/>
  <c r="S30" i="19"/>
  <c r="S7" i="19"/>
  <c r="S19" i="19"/>
  <c r="S14" i="19"/>
  <c r="S33" i="19"/>
  <c r="S16" i="19"/>
  <c r="S31" i="19"/>
  <c r="S11" i="19"/>
  <c r="S27" i="19"/>
  <c r="S4" i="19"/>
  <c r="S6" i="19"/>
  <c r="S21" i="19"/>
  <c r="S9" i="19"/>
  <c r="S24" i="19"/>
  <c r="S32" i="19"/>
  <c r="E6" i="18"/>
  <c r="V29" i="18"/>
  <c r="V27" i="18"/>
  <c r="V22" i="18"/>
  <c r="V21" i="18" s="1"/>
  <c r="V18" i="18"/>
  <c r="V17" i="18" s="1"/>
  <c r="V26" i="18"/>
  <c r="S29" i="17"/>
  <c r="S32" i="17"/>
  <c r="S13" i="19"/>
  <c r="S10" i="19"/>
  <c r="S28" i="17"/>
  <c r="S13" i="17"/>
  <c r="S29" i="19"/>
  <c r="S22" i="19"/>
  <c r="S23" i="19"/>
  <c r="S15" i="19"/>
  <c r="S22" i="17"/>
  <c r="S9" i="17"/>
  <c r="S21" i="17"/>
  <c r="V14" i="20"/>
  <c r="V26" i="17"/>
  <c r="V22" i="17"/>
  <c r="V21" i="17" s="1"/>
  <c r="V4" i="18"/>
  <c r="V28" i="19"/>
  <c r="V2" i="19"/>
  <c r="V22" i="19"/>
  <c r="V21" i="19" s="1"/>
  <c r="V28" i="20"/>
  <c r="V14" i="19"/>
  <c r="V9" i="19"/>
  <c r="V29" i="17"/>
  <c r="V28" i="17"/>
  <c r="V2" i="18"/>
  <c r="V26" i="19"/>
  <c r="V4" i="19"/>
  <c r="F6" i="20" l="1"/>
  <c r="S19" i="20"/>
  <c r="S22" i="20"/>
  <c r="S25" i="20"/>
  <c r="F6" i="1"/>
  <c r="G6" i="1" s="1"/>
  <c r="S33" i="20"/>
  <c r="S29" i="20"/>
  <c r="S16" i="20"/>
  <c r="S6" i="20"/>
  <c r="S5" i="20"/>
  <c r="S27" i="20"/>
  <c r="S24" i="20"/>
  <c r="S28" i="20"/>
  <c r="B34" i="18"/>
  <c r="B36" i="18" s="1"/>
  <c r="O29" i="20"/>
  <c r="N29" i="18"/>
  <c r="S9" i="20"/>
  <c r="S8" i="20"/>
  <c r="P29" i="19"/>
  <c r="S11" i="20"/>
  <c r="S12" i="20"/>
  <c r="M29" i="19"/>
  <c r="F6" i="19" s="1"/>
  <c r="O27" i="23"/>
  <c r="P27" i="23"/>
  <c r="P26" i="23"/>
  <c r="P29" i="18"/>
  <c r="N29" i="19"/>
  <c r="S32" i="20"/>
  <c r="S14" i="20"/>
  <c r="S30" i="20"/>
  <c r="S23" i="20"/>
  <c r="S31" i="20"/>
  <c r="S4" i="20"/>
  <c r="S10" i="20"/>
  <c r="S17" i="20"/>
  <c r="S7" i="20"/>
  <c r="S15" i="20"/>
  <c r="S13" i="20"/>
  <c r="S18" i="20"/>
  <c r="S20" i="20"/>
  <c r="S21" i="20"/>
  <c r="S26" i="20"/>
  <c r="M29" i="17"/>
  <c r="F6" i="17" s="1"/>
  <c r="P29" i="17"/>
  <c r="N29" i="17"/>
  <c r="M29" i="18"/>
  <c r="F6" i="18" s="1"/>
  <c r="M29" i="20"/>
  <c r="N29" i="20"/>
  <c r="S7" i="18"/>
  <c r="S10" i="18"/>
  <c r="S5" i="18"/>
  <c r="S22" i="18"/>
  <c r="S9" i="18"/>
  <c r="S30" i="18"/>
  <c r="S11" i="18"/>
  <c r="S33" i="18"/>
  <c r="S8" i="18"/>
  <c r="S23" i="18"/>
  <c r="S20" i="18"/>
  <c r="S31" i="18"/>
  <c r="S18" i="18"/>
  <c r="S21" i="18"/>
  <c r="S15" i="18"/>
  <c r="S29" i="18"/>
  <c r="S12" i="18"/>
  <c r="S13" i="18"/>
  <c r="S26" i="18"/>
  <c r="S4" i="18"/>
  <c r="S25" i="18"/>
  <c r="S28" i="18"/>
  <c r="S24" i="18"/>
  <c r="S16" i="18"/>
  <c r="S27" i="18"/>
  <c r="S17" i="18"/>
  <c r="S32" i="18"/>
  <c r="S14" i="18"/>
  <c r="S6" i="18"/>
  <c r="S19" i="18"/>
  <c r="G6" i="17" l="1"/>
  <c r="H6" i="17" s="1"/>
  <c r="B34" i="19"/>
  <c r="B36" i="19" s="1"/>
  <c r="B34" i="20" s="1"/>
  <c r="B36" i="20" s="1"/>
  <c r="G6" i="20" s="1"/>
  <c r="H6" i="20" s="1"/>
  <c r="I6" i="20" s="1"/>
  <c r="G6" i="18"/>
  <c r="H6" i="18" s="1"/>
  <c r="H6" i="1"/>
  <c r="O28" i="23"/>
  <c r="Q26" i="23"/>
  <c r="R26" i="23"/>
  <c r="I6" i="17" l="1"/>
  <c r="G6" i="19"/>
  <c r="H6" i="19" s="1"/>
  <c r="I6" i="19" s="1"/>
  <c r="I6" i="18"/>
  <c r="I6" i="1"/>
  <c r="O29" i="23"/>
  <c r="Q27" i="23"/>
  <c r="P28" i="23"/>
  <c r="J6" i="1" l="1"/>
  <c r="J6" i="17"/>
  <c r="F7" i="17" l="1"/>
  <c r="G7" i="17" s="1"/>
  <c r="J6" i="20"/>
  <c r="F7" i="1"/>
  <c r="J6" i="19"/>
  <c r="H7" i="17" l="1"/>
  <c r="I7" i="17" s="1"/>
  <c r="F7" i="19"/>
  <c r="F7" i="20"/>
  <c r="J6" i="18"/>
  <c r="G7" i="1"/>
  <c r="H7" i="1" s="1"/>
  <c r="I7" i="1" s="1"/>
  <c r="F7" i="18" l="1"/>
  <c r="G7" i="19"/>
  <c r="H7" i="19" s="1"/>
  <c r="G7" i="20"/>
  <c r="E7" i="17"/>
  <c r="E7" i="1"/>
  <c r="G7" i="18" l="1"/>
  <c r="H7" i="18" s="1"/>
  <c r="I7" i="19"/>
  <c r="H7" i="20"/>
  <c r="I7" i="20" s="1"/>
  <c r="J7" i="17"/>
  <c r="F8" i="17" s="1"/>
  <c r="G8" i="17" s="1"/>
  <c r="H8" i="17" s="1"/>
  <c r="I8" i="17" s="1"/>
  <c r="J7" i="1"/>
  <c r="F8" i="1" s="1"/>
  <c r="G8" i="1" s="1"/>
  <c r="H8" i="1" s="1"/>
  <c r="I8" i="1" s="1"/>
  <c r="E8" i="17" l="1"/>
  <c r="J8" i="17" s="1"/>
  <c r="F9" i="17" s="1"/>
  <c r="G9" i="17" s="1"/>
  <c r="H9" i="17" s="1"/>
  <c r="I9" i="17" s="1"/>
  <c r="F10" i="17" s="1"/>
  <c r="G10" i="17" s="1"/>
  <c r="H10" i="17" s="1"/>
  <c r="I10" i="17" s="1"/>
  <c r="F11" i="17" s="1"/>
  <c r="G11" i="17" s="1"/>
  <c r="H11" i="17" s="1"/>
  <c r="I11" i="17" s="1"/>
  <c r="F12" i="17" s="1"/>
  <c r="G12" i="17" s="1"/>
  <c r="H12" i="17" s="1"/>
  <c r="I12" i="17" s="1"/>
  <c r="F13" i="17" s="1"/>
  <c r="G13" i="17" s="1"/>
  <c r="H13" i="17" s="1"/>
  <c r="I13" i="17" s="1"/>
  <c r="F14" i="17" s="1"/>
  <c r="G14" i="17" s="1"/>
  <c r="H14" i="17" s="1"/>
  <c r="I14" i="17" s="1"/>
  <c r="F15" i="17" s="1"/>
  <c r="G15" i="17" s="1"/>
  <c r="H15" i="17" s="1"/>
  <c r="I15" i="17" s="1"/>
  <c r="F16" i="17" s="1"/>
  <c r="G16" i="17" s="1"/>
  <c r="H16" i="17" s="1"/>
  <c r="I16" i="17" s="1"/>
  <c r="F17" i="17" s="1"/>
  <c r="G17" i="17" s="1"/>
  <c r="H17" i="17" s="1"/>
  <c r="I17" i="17" s="1"/>
  <c r="F18" i="17" s="1"/>
  <c r="G18" i="17" s="1"/>
  <c r="H18" i="17" s="1"/>
  <c r="I18" i="17" s="1"/>
  <c r="F19" i="17" s="1"/>
  <c r="G19" i="17" s="1"/>
  <c r="H19" i="17" s="1"/>
  <c r="I19" i="17" s="1"/>
  <c r="F20" i="17" s="1"/>
  <c r="G20" i="17" s="1"/>
  <c r="H20" i="17" s="1"/>
  <c r="I20" i="17" s="1"/>
  <c r="F21" i="17" s="1"/>
  <c r="G21" i="17" s="1"/>
  <c r="H21" i="17" s="1"/>
  <c r="I21" i="17" s="1"/>
  <c r="F22" i="17" s="1"/>
  <c r="G22" i="17" s="1"/>
  <c r="H22" i="17" s="1"/>
  <c r="I22" i="17" s="1"/>
  <c r="F23" i="17" s="1"/>
  <c r="G23" i="17" s="1"/>
  <c r="H23" i="17" s="1"/>
  <c r="I23" i="17" s="1"/>
  <c r="F24" i="17" s="1"/>
  <c r="G24" i="17" s="1"/>
  <c r="H24" i="17" s="1"/>
  <c r="I24" i="17" s="1"/>
  <c r="F25" i="17" s="1"/>
  <c r="G25" i="17" s="1"/>
  <c r="H25" i="17" s="1"/>
  <c r="I25" i="17" s="1"/>
  <c r="F26" i="17" s="1"/>
  <c r="G26" i="17" s="1"/>
  <c r="H26" i="17" s="1"/>
  <c r="I26" i="17" s="1"/>
  <c r="F27" i="17" s="1"/>
  <c r="G27" i="17" s="1"/>
  <c r="H27" i="17" s="1"/>
  <c r="I27" i="17" s="1"/>
  <c r="F28" i="17" s="1"/>
  <c r="G28" i="17" s="1"/>
  <c r="H28" i="17" s="1"/>
  <c r="I28" i="17" s="1"/>
  <c r="F29" i="17" s="1"/>
  <c r="G29" i="17" s="1"/>
  <c r="H29" i="17" s="1"/>
  <c r="I29" i="17" s="1"/>
  <c r="F30" i="17" s="1"/>
  <c r="G30" i="17" s="1"/>
  <c r="H30" i="17" s="1"/>
  <c r="I30" i="17" s="1"/>
  <c r="F31" i="17" s="1"/>
  <c r="G31" i="17" s="1"/>
  <c r="H31" i="17" s="1"/>
  <c r="I31" i="17" s="1"/>
  <c r="F32" i="17" s="1"/>
  <c r="G32" i="17" s="1"/>
  <c r="H32" i="17" s="1"/>
  <c r="I32" i="17" s="1"/>
  <c r="F33" i="17" s="1"/>
  <c r="G33" i="17" s="1"/>
  <c r="H33" i="17" s="1"/>
  <c r="I33" i="17" s="1"/>
  <c r="F34" i="17" s="1"/>
  <c r="G34" i="17" s="1"/>
  <c r="H34" i="17" s="1"/>
  <c r="I34" i="17" s="1"/>
  <c r="F35" i="17" s="1"/>
  <c r="G35" i="17" s="1"/>
  <c r="H35" i="17" s="1"/>
  <c r="I35" i="17" s="1"/>
  <c r="F36" i="17" s="1"/>
  <c r="G36" i="17" s="1"/>
  <c r="H36" i="17" s="1"/>
  <c r="I36" i="17" s="1"/>
  <c r="I7" i="18"/>
  <c r="E7" i="20"/>
  <c r="E7" i="19"/>
  <c r="E8" i="1"/>
  <c r="E7" i="18" l="1"/>
  <c r="J7" i="18" s="1"/>
  <c r="J7" i="19"/>
  <c r="J7" i="20"/>
  <c r="F8" i="20" s="1"/>
  <c r="G8" i="20" s="1"/>
  <c r="H8" i="20" s="1"/>
  <c r="I8" i="20" s="1"/>
  <c r="J8" i="1"/>
  <c r="F9" i="1" s="1"/>
  <c r="G9" i="1" s="1"/>
  <c r="H9" i="1" s="1"/>
  <c r="I9" i="1" s="1"/>
  <c r="E9" i="17"/>
  <c r="F8" i="18" l="1"/>
  <c r="G8" i="18" s="1"/>
  <c r="H8" i="18" s="1"/>
  <c r="I8" i="18" s="1"/>
  <c r="F8" i="19"/>
  <c r="G8" i="19" s="1"/>
  <c r="H8" i="19" s="1"/>
  <c r="I8" i="19" s="1"/>
  <c r="J9" i="17"/>
  <c r="E8" i="20"/>
  <c r="E10" i="17"/>
  <c r="J10" i="17" s="1"/>
  <c r="E11" i="17"/>
  <c r="J11" i="17" s="1"/>
  <c r="E9" i="1"/>
  <c r="E8" i="18" l="1"/>
  <c r="J8" i="18" s="1"/>
  <c r="F9" i="18" s="1"/>
  <c r="E8" i="19"/>
  <c r="J8" i="19" s="1"/>
  <c r="F9" i="19" s="1"/>
  <c r="J8" i="20"/>
  <c r="F9" i="20" s="1"/>
  <c r="G9" i="20" s="1"/>
  <c r="H9" i="20" s="1"/>
  <c r="I9" i="20" s="1"/>
  <c r="J9" i="1"/>
  <c r="F10" i="1" s="1"/>
  <c r="E12" i="17"/>
  <c r="J12" i="17" s="1"/>
  <c r="G9" i="18" l="1"/>
  <c r="H9" i="18" s="1"/>
  <c r="I9" i="18" s="1"/>
  <c r="F10" i="18" s="1"/>
  <c r="E9" i="18"/>
  <c r="G9" i="19"/>
  <c r="H9" i="19" s="1"/>
  <c r="I9" i="19" s="1"/>
  <c r="F10" i="19" s="1"/>
  <c r="G10" i="19" s="1"/>
  <c r="H10" i="19" s="1"/>
  <c r="I10" i="19" s="1"/>
  <c r="F11" i="19" s="1"/>
  <c r="G11" i="19" s="1"/>
  <c r="H11" i="19" s="1"/>
  <c r="I11" i="19" s="1"/>
  <c r="F12" i="19" s="1"/>
  <c r="G12" i="19" s="1"/>
  <c r="H12" i="19" s="1"/>
  <c r="I12" i="19" s="1"/>
  <c r="F13" i="19" s="1"/>
  <c r="G13" i="19" s="1"/>
  <c r="H13" i="19" s="1"/>
  <c r="I13" i="19" s="1"/>
  <c r="F14" i="19" s="1"/>
  <c r="G14" i="19" s="1"/>
  <c r="H14" i="19" s="1"/>
  <c r="I14" i="19" s="1"/>
  <c r="F15" i="19" s="1"/>
  <c r="G15" i="19" s="1"/>
  <c r="H15" i="19" s="1"/>
  <c r="I15" i="19" s="1"/>
  <c r="F16" i="19" s="1"/>
  <c r="G16" i="19" s="1"/>
  <c r="H16" i="19" s="1"/>
  <c r="I16" i="19" s="1"/>
  <c r="F17" i="19" s="1"/>
  <c r="G17" i="19" s="1"/>
  <c r="H17" i="19" s="1"/>
  <c r="I17" i="19" s="1"/>
  <c r="F18" i="19" s="1"/>
  <c r="G18" i="19" s="1"/>
  <c r="H18" i="19" s="1"/>
  <c r="I18" i="19" s="1"/>
  <c r="F19" i="19" s="1"/>
  <c r="G19" i="19" s="1"/>
  <c r="H19" i="19" s="1"/>
  <c r="I19" i="19" s="1"/>
  <c r="F20" i="19" s="1"/>
  <c r="G20" i="19" s="1"/>
  <c r="H20" i="19" s="1"/>
  <c r="I20" i="19" s="1"/>
  <c r="F21" i="19" s="1"/>
  <c r="G21" i="19" s="1"/>
  <c r="H21" i="19" s="1"/>
  <c r="I21" i="19" s="1"/>
  <c r="F22" i="19" s="1"/>
  <c r="G22" i="19" s="1"/>
  <c r="H22" i="19" s="1"/>
  <c r="I22" i="19" s="1"/>
  <c r="F23" i="19" s="1"/>
  <c r="G23" i="19" s="1"/>
  <c r="H23" i="19" s="1"/>
  <c r="I23" i="19" s="1"/>
  <c r="F24" i="19" s="1"/>
  <c r="G24" i="19" s="1"/>
  <c r="H24" i="19" s="1"/>
  <c r="I24" i="19" s="1"/>
  <c r="F25" i="19" s="1"/>
  <c r="G25" i="19" s="1"/>
  <c r="H25" i="19" s="1"/>
  <c r="I25" i="19" s="1"/>
  <c r="F26" i="19" s="1"/>
  <c r="G26" i="19" s="1"/>
  <c r="H26" i="19" s="1"/>
  <c r="I26" i="19" s="1"/>
  <c r="F27" i="19" s="1"/>
  <c r="G27" i="19" s="1"/>
  <c r="H27" i="19" s="1"/>
  <c r="I27" i="19" s="1"/>
  <c r="F28" i="19" s="1"/>
  <c r="G28" i="19" s="1"/>
  <c r="H28" i="19" s="1"/>
  <c r="I28" i="19" s="1"/>
  <c r="F29" i="19" s="1"/>
  <c r="G29" i="19" s="1"/>
  <c r="H29" i="19" s="1"/>
  <c r="I29" i="19" s="1"/>
  <c r="F30" i="19" s="1"/>
  <c r="G30" i="19" s="1"/>
  <c r="H30" i="19" s="1"/>
  <c r="I30" i="19" s="1"/>
  <c r="F31" i="19" s="1"/>
  <c r="G31" i="19" s="1"/>
  <c r="H31" i="19" s="1"/>
  <c r="I31" i="19" s="1"/>
  <c r="F32" i="19" s="1"/>
  <c r="G32" i="19" s="1"/>
  <c r="H32" i="19" s="1"/>
  <c r="I32" i="19" s="1"/>
  <c r="F33" i="19" s="1"/>
  <c r="G33" i="19" s="1"/>
  <c r="H33" i="19" s="1"/>
  <c r="I33" i="19" s="1"/>
  <c r="F34" i="19" s="1"/>
  <c r="G34" i="19" s="1"/>
  <c r="H34" i="19" s="1"/>
  <c r="I34" i="19" s="1"/>
  <c r="F35" i="19" s="1"/>
  <c r="G35" i="19" s="1"/>
  <c r="H35" i="19" s="1"/>
  <c r="I35" i="19" s="1"/>
  <c r="F36" i="19" s="1"/>
  <c r="G36" i="19" s="1"/>
  <c r="H36" i="19" s="1"/>
  <c r="I36" i="19" s="1"/>
  <c r="E9" i="19"/>
  <c r="J9" i="19" s="1"/>
  <c r="E9" i="20"/>
  <c r="G10" i="1"/>
  <c r="H10" i="1" s="1"/>
  <c r="I10" i="1" s="1"/>
  <c r="F11" i="1" s="1"/>
  <c r="E10" i="1"/>
  <c r="E13" i="17"/>
  <c r="J9" i="18" l="1"/>
  <c r="G10" i="18"/>
  <c r="H10" i="18" s="1"/>
  <c r="I10" i="18" s="1"/>
  <c r="F11" i="18" s="1"/>
  <c r="E10" i="18"/>
  <c r="J10" i="18" s="1"/>
  <c r="E10" i="19"/>
  <c r="J10" i="19" s="1"/>
  <c r="J13" i="17"/>
  <c r="J9" i="20"/>
  <c r="F10" i="20" s="1"/>
  <c r="G10" i="20" s="1"/>
  <c r="H10" i="20" s="1"/>
  <c r="I10" i="20" s="1"/>
  <c r="F11" i="20" s="1"/>
  <c r="G11" i="20" s="1"/>
  <c r="H11" i="20" s="1"/>
  <c r="I11" i="20" s="1"/>
  <c r="F12" i="20" s="1"/>
  <c r="G12" i="20" s="1"/>
  <c r="H12" i="20" s="1"/>
  <c r="I12" i="20" s="1"/>
  <c r="F13" i="20" s="1"/>
  <c r="G13" i="20" s="1"/>
  <c r="H13" i="20" s="1"/>
  <c r="I13" i="20" s="1"/>
  <c r="F14" i="20" s="1"/>
  <c r="G14" i="20" s="1"/>
  <c r="H14" i="20" s="1"/>
  <c r="I14" i="20" s="1"/>
  <c r="F15" i="20" s="1"/>
  <c r="G15" i="20" s="1"/>
  <c r="H15" i="20" s="1"/>
  <c r="I15" i="20" s="1"/>
  <c r="F16" i="20" s="1"/>
  <c r="G16" i="20" s="1"/>
  <c r="H16" i="20" s="1"/>
  <c r="I16" i="20" s="1"/>
  <c r="F17" i="20" s="1"/>
  <c r="G17" i="20" s="1"/>
  <c r="H17" i="20" s="1"/>
  <c r="I17" i="20" s="1"/>
  <c r="F18" i="20" s="1"/>
  <c r="G18" i="20" s="1"/>
  <c r="H18" i="20" s="1"/>
  <c r="I18" i="20" s="1"/>
  <c r="F19" i="20" s="1"/>
  <c r="G19" i="20" s="1"/>
  <c r="H19" i="20" s="1"/>
  <c r="I19" i="20" s="1"/>
  <c r="F20" i="20" s="1"/>
  <c r="G20" i="20" s="1"/>
  <c r="H20" i="20" s="1"/>
  <c r="I20" i="20" s="1"/>
  <c r="F21" i="20" s="1"/>
  <c r="G21" i="20" s="1"/>
  <c r="H21" i="20" s="1"/>
  <c r="I21" i="20" s="1"/>
  <c r="F22" i="20" s="1"/>
  <c r="G22" i="20" s="1"/>
  <c r="H22" i="20" s="1"/>
  <c r="I22" i="20" s="1"/>
  <c r="F23" i="20" s="1"/>
  <c r="G23" i="20" s="1"/>
  <c r="H23" i="20" s="1"/>
  <c r="I23" i="20" s="1"/>
  <c r="F24" i="20" s="1"/>
  <c r="G24" i="20" s="1"/>
  <c r="H24" i="20" s="1"/>
  <c r="I24" i="20" s="1"/>
  <c r="F25" i="20" s="1"/>
  <c r="G25" i="20" s="1"/>
  <c r="H25" i="20" s="1"/>
  <c r="I25" i="20" s="1"/>
  <c r="F26" i="20" s="1"/>
  <c r="G26" i="20" s="1"/>
  <c r="H26" i="20" s="1"/>
  <c r="I26" i="20" s="1"/>
  <c r="F27" i="20" s="1"/>
  <c r="G27" i="20" s="1"/>
  <c r="H27" i="20" s="1"/>
  <c r="I27" i="20" s="1"/>
  <c r="F28" i="20" s="1"/>
  <c r="G28" i="20" s="1"/>
  <c r="H28" i="20" s="1"/>
  <c r="I28" i="20" s="1"/>
  <c r="F29" i="20" s="1"/>
  <c r="G29" i="20" s="1"/>
  <c r="H29" i="20" s="1"/>
  <c r="I29" i="20" s="1"/>
  <c r="F30" i="20" s="1"/>
  <c r="G30" i="20" s="1"/>
  <c r="H30" i="20" s="1"/>
  <c r="I30" i="20" s="1"/>
  <c r="F31" i="20" s="1"/>
  <c r="G31" i="20" s="1"/>
  <c r="H31" i="20" s="1"/>
  <c r="I31" i="20" s="1"/>
  <c r="F32" i="20" s="1"/>
  <c r="G32" i="20" s="1"/>
  <c r="H32" i="20" s="1"/>
  <c r="I32" i="20" s="1"/>
  <c r="F33" i="20" s="1"/>
  <c r="G33" i="20" s="1"/>
  <c r="H33" i="20" s="1"/>
  <c r="I33" i="20" s="1"/>
  <c r="F34" i="20" s="1"/>
  <c r="G34" i="20" s="1"/>
  <c r="H34" i="20" s="1"/>
  <c r="I34" i="20" s="1"/>
  <c r="F35" i="20" s="1"/>
  <c r="G35" i="20" s="1"/>
  <c r="H35" i="20" s="1"/>
  <c r="I35" i="20" s="1"/>
  <c r="F36" i="20" s="1"/>
  <c r="G36" i="20" s="1"/>
  <c r="H36" i="20" s="1"/>
  <c r="I36" i="20" s="1"/>
  <c r="J10" i="1"/>
  <c r="G11" i="1"/>
  <c r="H11" i="1" s="1"/>
  <c r="I11" i="1" s="1"/>
  <c r="F12" i="1" s="1"/>
  <c r="E11" i="1"/>
  <c r="J11" i="1" s="1"/>
  <c r="E11" i="19"/>
  <c r="E14" i="17"/>
  <c r="J14" i="17" s="1"/>
  <c r="G11" i="18" l="1"/>
  <c r="H11" i="18" s="1"/>
  <c r="I11" i="18" s="1"/>
  <c r="F12" i="18" s="1"/>
  <c r="E11" i="18"/>
  <c r="J11" i="18" s="1"/>
  <c r="E10" i="20"/>
  <c r="J10" i="20" s="1"/>
  <c r="J11" i="19"/>
  <c r="E11" i="20"/>
  <c r="J11" i="20" s="1"/>
  <c r="G12" i="1"/>
  <c r="H12" i="1" s="1"/>
  <c r="I12" i="1" s="1"/>
  <c r="F13" i="1" s="1"/>
  <c r="E12" i="1"/>
  <c r="E12" i="19"/>
  <c r="E15" i="17"/>
  <c r="J15" i="17" s="1"/>
  <c r="J12" i="1" l="1"/>
  <c r="G12" i="18"/>
  <c r="H12" i="18" s="1"/>
  <c r="I12" i="18" s="1"/>
  <c r="F13" i="18" s="1"/>
  <c r="E12" i="18"/>
  <c r="J12" i="18" s="1"/>
  <c r="J12" i="19"/>
  <c r="E12" i="20"/>
  <c r="J12" i="20" s="1"/>
  <c r="G13" i="1"/>
  <c r="H13" i="1" s="1"/>
  <c r="I13" i="1" s="1"/>
  <c r="F14" i="1" s="1"/>
  <c r="E13" i="1"/>
  <c r="E13" i="19"/>
  <c r="J13" i="19" s="1"/>
  <c r="E16" i="17"/>
  <c r="J16" i="17" s="1"/>
  <c r="J13" i="1" l="1"/>
  <c r="G13" i="18"/>
  <c r="H13" i="18" s="1"/>
  <c r="I13" i="18" s="1"/>
  <c r="F14" i="18" s="1"/>
  <c r="E13" i="18"/>
  <c r="J13" i="18" s="1"/>
  <c r="E13" i="20"/>
  <c r="J13" i="20" s="1"/>
  <c r="G14" i="1"/>
  <c r="H14" i="1" s="1"/>
  <c r="I14" i="1" s="1"/>
  <c r="F15" i="1" s="1"/>
  <c r="E14" i="1"/>
  <c r="J14" i="1" s="1"/>
  <c r="E14" i="19"/>
  <c r="E17" i="17"/>
  <c r="J17" i="17" s="1"/>
  <c r="G14" i="18" l="1"/>
  <c r="H14" i="18" s="1"/>
  <c r="I14" i="18" s="1"/>
  <c r="F15" i="18" s="1"/>
  <c r="E14" i="18"/>
  <c r="J14" i="18" s="1"/>
  <c r="J14" i="19"/>
  <c r="E14" i="20"/>
  <c r="J14" i="20" s="1"/>
  <c r="G15" i="1"/>
  <c r="H15" i="1" s="1"/>
  <c r="I15" i="1" s="1"/>
  <c r="F16" i="1" s="1"/>
  <c r="E15" i="1"/>
  <c r="J15" i="1" s="1"/>
  <c r="E15" i="19"/>
  <c r="J15" i="19" s="1"/>
  <c r="E18" i="17"/>
  <c r="J18" i="17" s="1"/>
  <c r="G15" i="18" l="1"/>
  <c r="H15" i="18" s="1"/>
  <c r="I15" i="18" s="1"/>
  <c r="F16" i="18" s="1"/>
  <c r="E15" i="18"/>
  <c r="J15" i="18" s="1"/>
  <c r="E15" i="20"/>
  <c r="J15" i="20" s="1"/>
  <c r="G16" i="1"/>
  <c r="H16" i="1" s="1"/>
  <c r="I16" i="1" s="1"/>
  <c r="F17" i="1" s="1"/>
  <c r="E16" i="1"/>
  <c r="J16" i="1" s="1"/>
  <c r="E16" i="19"/>
  <c r="J16" i="19" s="1"/>
  <c r="E19" i="17"/>
  <c r="J19" i="17" s="1"/>
  <c r="G16" i="18" l="1"/>
  <c r="H16" i="18" s="1"/>
  <c r="I16" i="18" s="1"/>
  <c r="F17" i="18" s="1"/>
  <c r="E16" i="18"/>
  <c r="J16" i="18" s="1"/>
  <c r="E16" i="20"/>
  <c r="J16" i="20" s="1"/>
  <c r="G17" i="1"/>
  <c r="H17" i="1" s="1"/>
  <c r="I17" i="1" s="1"/>
  <c r="F18" i="1" s="1"/>
  <c r="E17" i="1"/>
  <c r="E17" i="19"/>
  <c r="J17" i="19" s="1"/>
  <c r="E20" i="17"/>
  <c r="J20" i="17" s="1"/>
  <c r="J17" i="1" l="1"/>
  <c r="G17" i="18"/>
  <c r="H17" i="18" s="1"/>
  <c r="I17" i="18" s="1"/>
  <c r="F18" i="18" s="1"/>
  <c r="E17" i="18"/>
  <c r="J17" i="18" s="1"/>
  <c r="E17" i="20"/>
  <c r="J17" i="20" s="1"/>
  <c r="G18" i="1"/>
  <c r="H18" i="1" s="1"/>
  <c r="I18" i="1" s="1"/>
  <c r="F19" i="1" s="1"/>
  <c r="E18" i="1"/>
  <c r="J18" i="1" s="1"/>
  <c r="E18" i="19"/>
  <c r="J18" i="19" s="1"/>
  <c r="E21" i="17"/>
  <c r="J21" i="17" s="1"/>
  <c r="G18" i="18" l="1"/>
  <c r="H18" i="18" s="1"/>
  <c r="I18" i="18" s="1"/>
  <c r="F19" i="18" s="1"/>
  <c r="E18" i="18"/>
  <c r="J18" i="18" s="1"/>
  <c r="E18" i="20"/>
  <c r="J18" i="20" s="1"/>
  <c r="G19" i="1"/>
  <c r="H19" i="1" s="1"/>
  <c r="I19" i="1" s="1"/>
  <c r="F20" i="1" s="1"/>
  <c r="E19" i="1"/>
  <c r="J19" i="1" s="1"/>
  <c r="E19" i="19"/>
  <c r="J19" i="19" s="1"/>
  <c r="E22" i="17"/>
  <c r="J22" i="17" s="1"/>
  <c r="G19" i="18" l="1"/>
  <c r="H19" i="18" s="1"/>
  <c r="I19" i="18" s="1"/>
  <c r="F20" i="18" s="1"/>
  <c r="E19" i="18"/>
  <c r="J19" i="18" s="1"/>
  <c r="E19" i="20"/>
  <c r="J19" i="20" s="1"/>
  <c r="G20" i="1"/>
  <c r="H20" i="1" s="1"/>
  <c r="I20" i="1" s="1"/>
  <c r="F21" i="1" s="1"/>
  <c r="E20" i="1"/>
  <c r="J20" i="1" s="1"/>
  <c r="E20" i="19"/>
  <c r="J20" i="19" s="1"/>
  <c r="E23" i="17"/>
  <c r="J23" i="17" s="1"/>
  <c r="G20" i="18" l="1"/>
  <c r="H20" i="18" s="1"/>
  <c r="I20" i="18" s="1"/>
  <c r="F21" i="18" s="1"/>
  <c r="E20" i="18"/>
  <c r="J20" i="18" s="1"/>
  <c r="E20" i="20"/>
  <c r="J20" i="20" s="1"/>
  <c r="G21" i="1"/>
  <c r="H21" i="1" s="1"/>
  <c r="I21" i="1" s="1"/>
  <c r="F22" i="1" s="1"/>
  <c r="E21" i="1"/>
  <c r="J21" i="1" s="1"/>
  <c r="E21" i="19"/>
  <c r="J21" i="19" s="1"/>
  <c r="E24" i="17"/>
  <c r="J24" i="17" s="1"/>
  <c r="G21" i="18" l="1"/>
  <c r="H21" i="18" s="1"/>
  <c r="I21" i="18" s="1"/>
  <c r="F22" i="18" s="1"/>
  <c r="E21" i="18"/>
  <c r="J21" i="18" s="1"/>
  <c r="E21" i="20"/>
  <c r="J21" i="20" s="1"/>
  <c r="G22" i="1"/>
  <c r="H22" i="1" s="1"/>
  <c r="I22" i="1" s="1"/>
  <c r="F23" i="1" s="1"/>
  <c r="E22" i="1"/>
  <c r="J22" i="1" s="1"/>
  <c r="E22" i="19"/>
  <c r="J22" i="19" s="1"/>
  <c r="E25" i="17"/>
  <c r="J25" i="17" s="1"/>
  <c r="G22" i="18" l="1"/>
  <c r="H22" i="18" s="1"/>
  <c r="I22" i="18" s="1"/>
  <c r="F23" i="18" s="1"/>
  <c r="E22" i="18"/>
  <c r="J22" i="18" s="1"/>
  <c r="E22" i="20"/>
  <c r="J22" i="20" s="1"/>
  <c r="G23" i="1"/>
  <c r="H23" i="1" s="1"/>
  <c r="I23" i="1" s="1"/>
  <c r="F24" i="1" s="1"/>
  <c r="E23" i="1"/>
  <c r="J23" i="1" s="1"/>
  <c r="E23" i="19"/>
  <c r="J23" i="19" s="1"/>
  <c r="E26" i="17"/>
  <c r="J26" i="17" s="1"/>
  <c r="G23" i="18" l="1"/>
  <c r="H23" i="18" s="1"/>
  <c r="I23" i="18" s="1"/>
  <c r="F24" i="18" s="1"/>
  <c r="E23" i="18"/>
  <c r="J23" i="18" s="1"/>
  <c r="E23" i="20"/>
  <c r="J23" i="20" s="1"/>
  <c r="G24" i="1"/>
  <c r="H24" i="1" s="1"/>
  <c r="I24" i="1" s="1"/>
  <c r="F25" i="1" s="1"/>
  <c r="E24" i="1"/>
  <c r="J24" i="1" s="1"/>
  <c r="E24" i="19"/>
  <c r="J24" i="19" s="1"/>
  <c r="E27" i="17"/>
  <c r="J27" i="17" s="1"/>
  <c r="G24" i="18" l="1"/>
  <c r="H24" i="18" s="1"/>
  <c r="I24" i="18" s="1"/>
  <c r="F25" i="18" s="1"/>
  <c r="E24" i="18"/>
  <c r="J24" i="18" s="1"/>
  <c r="E24" i="20"/>
  <c r="J24" i="20" s="1"/>
  <c r="G25" i="1"/>
  <c r="H25" i="1" s="1"/>
  <c r="I25" i="1" s="1"/>
  <c r="F26" i="1" s="1"/>
  <c r="E25" i="1"/>
  <c r="J25" i="1" s="1"/>
  <c r="E25" i="19"/>
  <c r="J25" i="19" s="1"/>
  <c r="E28" i="17"/>
  <c r="J28" i="17" s="1"/>
  <c r="G25" i="18" l="1"/>
  <c r="H25" i="18" s="1"/>
  <c r="I25" i="18" s="1"/>
  <c r="F26" i="18" s="1"/>
  <c r="E25" i="18"/>
  <c r="J25" i="18" s="1"/>
  <c r="E25" i="20"/>
  <c r="J25" i="20" s="1"/>
  <c r="G26" i="1"/>
  <c r="H26" i="1" s="1"/>
  <c r="I26" i="1" s="1"/>
  <c r="F27" i="1" s="1"/>
  <c r="E26" i="1"/>
  <c r="J26" i="1" s="1"/>
  <c r="E26" i="19"/>
  <c r="J26" i="19" s="1"/>
  <c r="E29" i="17"/>
  <c r="J29" i="17" s="1"/>
  <c r="G26" i="18" l="1"/>
  <c r="H26" i="18" s="1"/>
  <c r="I26" i="18" s="1"/>
  <c r="F27" i="18" s="1"/>
  <c r="E26" i="18"/>
  <c r="J26" i="18" s="1"/>
  <c r="E26" i="20"/>
  <c r="J26" i="20" s="1"/>
  <c r="G27" i="1"/>
  <c r="H27" i="1" s="1"/>
  <c r="I27" i="1" s="1"/>
  <c r="F28" i="1" s="1"/>
  <c r="E27" i="1"/>
  <c r="J27" i="1" s="1"/>
  <c r="E27" i="19"/>
  <c r="J27" i="19" s="1"/>
  <c r="E30" i="17"/>
  <c r="J30" i="17" s="1"/>
  <c r="G27" i="18" l="1"/>
  <c r="H27" i="18" s="1"/>
  <c r="I27" i="18" s="1"/>
  <c r="F28" i="18" s="1"/>
  <c r="E27" i="18"/>
  <c r="J27" i="18" s="1"/>
  <c r="E27" i="20"/>
  <c r="J27" i="20" s="1"/>
  <c r="G28" i="1"/>
  <c r="H28" i="1" s="1"/>
  <c r="I28" i="1" s="1"/>
  <c r="F29" i="1" s="1"/>
  <c r="E28" i="1"/>
  <c r="J28" i="1" s="1"/>
  <c r="E28" i="19"/>
  <c r="J28" i="19" s="1"/>
  <c r="E31" i="17"/>
  <c r="J31" i="17" s="1"/>
  <c r="G28" i="18" l="1"/>
  <c r="H28" i="18" s="1"/>
  <c r="I28" i="18" s="1"/>
  <c r="F29" i="18" s="1"/>
  <c r="E28" i="18"/>
  <c r="J28" i="18" s="1"/>
  <c r="E28" i="20"/>
  <c r="J28" i="20" s="1"/>
  <c r="G29" i="1"/>
  <c r="H29" i="1" s="1"/>
  <c r="I29" i="1" s="1"/>
  <c r="F30" i="1" s="1"/>
  <c r="E29" i="1"/>
  <c r="J29" i="1" s="1"/>
  <c r="E29" i="19"/>
  <c r="J29" i="19" s="1"/>
  <c r="E32" i="17"/>
  <c r="J32" i="17" s="1"/>
  <c r="G29" i="18" l="1"/>
  <c r="H29" i="18" s="1"/>
  <c r="I29" i="18" s="1"/>
  <c r="F30" i="18" s="1"/>
  <c r="E29" i="18"/>
  <c r="J29" i="18" s="1"/>
  <c r="E29" i="20"/>
  <c r="J29" i="20" s="1"/>
  <c r="G30" i="1"/>
  <c r="H30" i="1" s="1"/>
  <c r="I30" i="1" s="1"/>
  <c r="F31" i="1" s="1"/>
  <c r="E30" i="1"/>
  <c r="J30" i="1" s="1"/>
  <c r="E30" i="19"/>
  <c r="J30" i="19" s="1"/>
  <c r="E33" i="17"/>
  <c r="J33" i="17" s="1"/>
  <c r="G30" i="18" l="1"/>
  <c r="H30" i="18" s="1"/>
  <c r="I30" i="18" s="1"/>
  <c r="F31" i="18" s="1"/>
  <c r="E30" i="18"/>
  <c r="J30" i="18" s="1"/>
  <c r="E30" i="20"/>
  <c r="J30" i="20" s="1"/>
  <c r="G31" i="1"/>
  <c r="H31" i="1" s="1"/>
  <c r="I31" i="1" s="1"/>
  <c r="F32" i="1" s="1"/>
  <c r="E31" i="1"/>
  <c r="J31" i="1" s="1"/>
  <c r="E31" i="19"/>
  <c r="J31" i="19" s="1"/>
  <c r="E34" i="17"/>
  <c r="J34" i="17" s="1"/>
  <c r="G31" i="18" l="1"/>
  <c r="H31" i="18" s="1"/>
  <c r="I31" i="18" s="1"/>
  <c r="F32" i="18" s="1"/>
  <c r="E31" i="18"/>
  <c r="J31" i="18" s="1"/>
  <c r="E31" i="20"/>
  <c r="J31" i="20" s="1"/>
  <c r="G32" i="1"/>
  <c r="H32" i="1" s="1"/>
  <c r="I32" i="1" s="1"/>
  <c r="F33" i="1" s="1"/>
  <c r="E32" i="1"/>
  <c r="J32" i="1" s="1"/>
  <c r="E32" i="19"/>
  <c r="E35" i="17"/>
  <c r="G32" i="18" l="1"/>
  <c r="H32" i="18" s="1"/>
  <c r="I32" i="18" s="1"/>
  <c r="F33" i="18" s="1"/>
  <c r="E32" i="18"/>
  <c r="J32" i="18" s="1"/>
  <c r="W29" i="17"/>
  <c r="W28" i="17"/>
  <c r="X28" i="17"/>
  <c r="W26" i="17"/>
  <c r="X27" i="17"/>
  <c r="W27" i="17"/>
  <c r="Y26" i="17"/>
  <c r="Z26" i="17"/>
  <c r="B47" i="17" s="1"/>
  <c r="Y27" i="17"/>
  <c r="X26" i="17"/>
  <c r="E32" i="20"/>
  <c r="J32" i="20" s="1"/>
  <c r="G33" i="1"/>
  <c r="H33" i="1" s="1"/>
  <c r="I33" i="1" s="1"/>
  <c r="F34" i="1" s="1"/>
  <c r="E33" i="1"/>
  <c r="J33" i="1" s="1"/>
  <c r="J35" i="17"/>
  <c r="J37" i="17" s="1"/>
  <c r="J32" i="19"/>
  <c r="E33" i="19"/>
  <c r="J33" i="19" s="1"/>
  <c r="E36" i="17"/>
  <c r="J36" i="17" s="1"/>
  <c r="G33" i="18" l="1"/>
  <c r="H33" i="18" s="1"/>
  <c r="I33" i="18" s="1"/>
  <c r="F34" i="18" s="1"/>
  <c r="E33" i="18"/>
  <c r="J33" i="18" s="1"/>
  <c r="E33" i="20"/>
  <c r="J33" i="20" s="1"/>
  <c r="G34" i="1"/>
  <c r="H34" i="1" s="1"/>
  <c r="I34" i="1" s="1"/>
  <c r="F35" i="1" s="1"/>
  <c r="E34" i="1"/>
  <c r="J34" i="1" s="1"/>
  <c r="E34" i="19"/>
  <c r="G34" i="18" l="1"/>
  <c r="H34" i="18" s="1"/>
  <c r="I34" i="18" s="1"/>
  <c r="F35" i="18" s="1"/>
  <c r="E34" i="18"/>
  <c r="E34" i="20"/>
  <c r="G35" i="1"/>
  <c r="H35" i="1" s="1"/>
  <c r="I35" i="1" s="1"/>
  <c r="F36" i="1" s="1"/>
  <c r="E35" i="1"/>
  <c r="J34" i="19"/>
  <c r="E35" i="19"/>
  <c r="J35" i="1" l="1"/>
  <c r="J37" i="1" s="1"/>
  <c r="X28" i="1"/>
  <c r="X27" i="1"/>
  <c r="W26" i="1"/>
  <c r="Y26" i="1"/>
  <c r="W28" i="1"/>
  <c r="Z26" i="1"/>
  <c r="B47" i="1" s="1"/>
  <c r="W27" i="1"/>
  <c r="X26" i="1"/>
  <c r="W29" i="1"/>
  <c r="Y27" i="1"/>
  <c r="J34" i="18"/>
  <c r="G35" i="18"/>
  <c r="H35" i="18" s="1"/>
  <c r="I35" i="18" s="1"/>
  <c r="F36" i="18" s="1"/>
  <c r="E35" i="18"/>
  <c r="Z26" i="18" s="1"/>
  <c r="B47" i="18" s="1"/>
  <c r="J34" i="20"/>
  <c r="Z26" i="19"/>
  <c r="B47" i="19" s="1"/>
  <c r="W26" i="19"/>
  <c r="W28" i="19"/>
  <c r="Y26" i="19"/>
  <c r="W27" i="19"/>
  <c r="Y27" i="19"/>
  <c r="X28" i="19"/>
  <c r="W29" i="19"/>
  <c r="X27" i="19"/>
  <c r="X26" i="19"/>
  <c r="E35" i="20"/>
  <c r="W26" i="20" s="1"/>
  <c r="G36" i="1"/>
  <c r="H36" i="1" s="1"/>
  <c r="I36" i="1" s="1"/>
  <c r="E36" i="1"/>
  <c r="J36" i="1" s="1"/>
  <c r="J35" i="19"/>
  <c r="J37" i="19" s="1"/>
  <c r="E36" i="19"/>
  <c r="J36" i="19" s="1"/>
  <c r="W26" i="18" l="1"/>
  <c r="J35" i="18"/>
  <c r="J37" i="18" s="1"/>
  <c r="Y26" i="18"/>
  <c r="W28" i="18"/>
  <c r="W27" i="18"/>
  <c r="Y27" i="18"/>
  <c r="W29" i="18"/>
  <c r="X27" i="18"/>
  <c r="X26" i="18"/>
  <c r="X28" i="18"/>
  <c r="G36" i="18"/>
  <c r="H36" i="18" s="1"/>
  <c r="I36" i="18" s="1"/>
  <c r="E36" i="18"/>
  <c r="J36" i="18" s="1"/>
  <c r="J35" i="20"/>
  <c r="J37" i="20" s="1"/>
  <c r="X26" i="20"/>
  <c r="W28" i="20"/>
  <c r="Z26" i="20"/>
  <c r="B47" i="20" s="1"/>
  <c r="X27" i="20"/>
  <c r="W29" i="20"/>
  <c r="X28" i="20"/>
  <c r="W27" i="20"/>
  <c r="Y26" i="20"/>
  <c r="Y27" i="20"/>
  <c r="E36" i="20"/>
  <c r="J36" i="20" s="1"/>
</calcChain>
</file>

<file path=xl/sharedStrings.xml><?xml version="1.0" encoding="utf-8"?>
<sst xmlns="http://schemas.openxmlformats.org/spreadsheetml/2006/main" count="431" uniqueCount="92">
  <si>
    <t>YA</t>
  </si>
  <si>
    <t>Total</t>
  </si>
  <si>
    <t>Quarter</t>
  </si>
  <si>
    <t>Check Number</t>
  </si>
  <si>
    <t>Months in Quarter</t>
  </si>
  <si>
    <t># Month</t>
  </si>
  <si>
    <t>Monthly Payment</t>
  </si>
  <si>
    <t>Downpayment</t>
  </si>
  <si>
    <t>The relevant financial period should fall within the same YA</t>
  </si>
  <si>
    <t>Check Date</t>
  </si>
  <si>
    <t>Number of Quarters</t>
  </si>
  <si>
    <t>Year-End</t>
  </si>
  <si>
    <t>(A1) Name of business</t>
  </si>
  <si>
    <t>(A2) Tax reference number</t>
  </si>
  <si>
    <t>(A3) Year End</t>
  </si>
  <si>
    <t>Total Qualifying Cost Per YA</t>
  </si>
  <si>
    <t>Qualifying Cost Before Cap</t>
  </si>
  <si>
    <t>Relevant Financial Period (As Per PIC Cash Payout Application Form)</t>
  </si>
  <si>
    <t>(B12) Term charges / HP interest</t>
  </si>
  <si>
    <t>(B14) Other qualifying activities in the YA</t>
  </si>
  <si>
    <t>(B15) Total qualifying cost for HP Equipment 1</t>
  </si>
  <si>
    <t>(C1) From:</t>
  </si>
  <si>
    <t>(C2) To:</t>
  </si>
  <si>
    <t>(C) Qualifying Cost for the Relevant Financial Period</t>
  </si>
  <si>
    <t>(to be claimed in Annex A1)</t>
  </si>
  <si>
    <t>(B8) Cash purchase price (exclude GST and HP interest)</t>
  </si>
  <si>
    <t xml:space="preserve">(B4) Number of instalments </t>
  </si>
  <si>
    <t xml:space="preserve">(B1) Description of asset </t>
  </si>
  <si>
    <t xml:space="preserve">(B6) Subsequent instalments ($) </t>
  </si>
  <si>
    <t xml:space="preserve">(B7) Final instalment ($) </t>
  </si>
  <si>
    <t xml:space="preserve">(B5) First instalment ($) </t>
  </si>
  <si>
    <t xml:space="preserve">(B9) GST amount </t>
  </si>
  <si>
    <t xml:space="preserve">(B11) Downpayment </t>
  </si>
  <si>
    <t xml:space="preserve">(B10) Total </t>
  </si>
  <si>
    <t>(C3) YA</t>
  </si>
  <si>
    <t xml:space="preserve">(C4) Qualifying Cost </t>
  </si>
  <si>
    <r>
      <t xml:space="preserve">Do </t>
    </r>
    <r>
      <rPr>
        <b/>
        <u/>
        <sz val="10"/>
        <color indexed="8"/>
        <rFont val="Arial"/>
        <family val="2"/>
      </rPr>
      <t>not</t>
    </r>
    <r>
      <rPr>
        <b/>
        <sz val="10"/>
        <color indexed="8"/>
        <rFont val="Arial"/>
        <family val="2"/>
      </rPr>
      <t xml:space="preserve"> print this page for submission.</t>
    </r>
  </si>
  <si>
    <t>(B15) Other HP equipment in the YA</t>
  </si>
  <si>
    <t>(B16) Total qualifying cost for HP Equipment 2</t>
  </si>
  <si>
    <r>
      <t>(A) Business Particulars</t>
    </r>
    <r>
      <rPr>
        <sz val="10"/>
        <color indexed="8"/>
        <rFont val="Arial"/>
        <family val="2"/>
      </rPr>
      <t xml:space="preserve"> (Pre-filled)</t>
    </r>
  </si>
  <si>
    <r>
      <t xml:space="preserve">(A) Business Particulars </t>
    </r>
    <r>
      <rPr>
        <sz val="10"/>
        <color indexed="8"/>
        <rFont val="Arial"/>
        <family val="2"/>
      </rPr>
      <t>(As per PIC Cash Payout Application Form)</t>
    </r>
  </si>
  <si>
    <r>
      <t xml:space="preserve">(B) HP Details </t>
    </r>
    <r>
      <rPr>
        <sz val="10"/>
        <color indexed="8"/>
        <rFont val="Arial"/>
        <family val="2"/>
      </rPr>
      <t>(As per HP agreement)</t>
    </r>
  </si>
  <si>
    <t>Relevant Financial Period (Pre-filled)</t>
  </si>
  <si>
    <t>(B16) Total qualifying cost for HP Equipment 3</t>
  </si>
  <si>
    <t>(B16) Total qualifying cost for HP Equipment 4</t>
  </si>
  <si>
    <t>(B16) Total qualifying cost for HP Equipment 5</t>
  </si>
  <si>
    <t>Deposit Payment</t>
  </si>
  <si>
    <t>(B3) Date of first instalment (dd/mm/yyyy)</t>
  </si>
  <si>
    <t>(B2) Date of HP agreement (dd/mm/yyyy)</t>
  </si>
  <si>
    <t>First instalment</t>
  </si>
  <si>
    <t>Deposit payment</t>
  </si>
  <si>
    <t>Breakdown of Qualifying Cost for Each Quarter and YA - Equipment 1 (Pre-filled)</t>
  </si>
  <si>
    <t>Breakdown of Qualifying Cost for Each Quarter and YA - Equipment 2 (Pre-filled)</t>
  </si>
  <si>
    <t>Breakdown of Qualifying Cost for Each Quarter and YA - Equipment 3 (Pre-filled)</t>
  </si>
  <si>
    <t>Breakdown of Qualifying Cost for Each Quarter and YA - Equipment 4 (Pre-filled)</t>
  </si>
  <si>
    <t>Breakdown of Qualifying Cost for Each Quarter and YA - Equipment 5 (Pre-filled)</t>
  </si>
  <si>
    <t>i. you have more than 5 HP equipment; or</t>
  </si>
  <si>
    <t>ii. you are claiming PIC cash payout on HP equipment acquired under agreement(s) entered into during a different basis period (i.e. different YA).</t>
  </si>
  <si>
    <t>You should start on a new template if:</t>
  </si>
  <si>
    <t>2</t>
  </si>
  <si>
    <t>4</t>
  </si>
  <si>
    <t>8</t>
  </si>
  <si>
    <r>
      <t xml:space="preserve">You should </t>
    </r>
    <r>
      <rPr>
        <b/>
        <u/>
        <sz val="10"/>
        <color indexed="8"/>
        <rFont val="Arial"/>
        <family val="2"/>
      </rPr>
      <t>not</t>
    </r>
    <r>
      <rPr>
        <b/>
        <sz val="10"/>
        <color indexed="8"/>
        <rFont val="Arial"/>
        <family val="2"/>
      </rPr>
      <t xml:space="preserve"> use this template </t>
    </r>
    <r>
      <rPr>
        <sz val="10"/>
        <color indexed="8"/>
        <rFont val="Arial"/>
        <family val="2"/>
      </rPr>
      <t xml:space="preserve">if your basis period is more than 12 months due to a change in accounting year end.  </t>
    </r>
  </si>
  <si>
    <r>
      <rPr>
        <b/>
        <sz val="10"/>
        <color indexed="8"/>
        <rFont val="Arial"/>
        <family val="2"/>
      </rPr>
      <t>You are not required to submit this template</t>
    </r>
    <r>
      <rPr>
        <sz val="10"/>
        <color indexed="8"/>
        <rFont val="Arial"/>
        <family val="2"/>
      </rPr>
      <t xml:space="preserve"> if you are able to determine/compute the qualifying cost to be converted to PIC cash payout on your HP equipment based on the actual principal repaid in the relevant financial period. </t>
    </r>
  </si>
  <si>
    <r>
      <rPr>
        <b/>
        <sz val="10"/>
        <color indexed="8"/>
        <rFont val="Arial"/>
        <family val="2"/>
      </rPr>
      <t>If you are not using the HP template</t>
    </r>
    <r>
      <rPr>
        <sz val="10"/>
        <color indexed="8"/>
        <rFont val="Arial"/>
        <family val="2"/>
      </rPr>
      <t>, please submit the HP agreement(s), invoice(s) and payment schedule(s) together with your PIC Cash Payout Application Form. Where the information furnished in your cash payout application is complete, we will process the claim. However, if the information is incomplete, we will request for further details to review your claim.</t>
    </r>
  </si>
  <si>
    <r>
      <rPr>
        <b/>
        <sz val="10"/>
        <color indexed="8"/>
        <rFont val="Arial"/>
        <family val="2"/>
      </rPr>
      <t>You are encouraged to submit this HP template together with the PIC Cash Payout Application Form.</t>
    </r>
    <r>
      <rPr>
        <sz val="10"/>
        <color indexed="8"/>
        <rFont val="Arial"/>
        <family val="2"/>
      </rPr>
      <t xml:space="preserve"> If you do so, you may retain your HP agreement(s), invoice(s) and payment schedule(s) and submit them only upon request.</t>
    </r>
  </si>
  <si>
    <t>v3.2.14</t>
  </si>
  <si>
    <t>Productivity and Innovation Credit (PIC)
Hire Purchase (HP) Template for Years of Assessment (YAs) 2013 to 2018</t>
  </si>
  <si>
    <r>
      <t xml:space="preserve">This template computes the qualifying cost to be converted to PIC cash payout for PIC IT and automation equipment acquired under any </t>
    </r>
    <r>
      <rPr>
        <b/>
        <sz val="10"/>
        <color indexed="8"/>
        <rFont val="Arial"/>
        <family val="2"/>
      </rPr>
      <t>HP agreement entered into during the basis period for YAs 2013 to 2018</t>
    </r>
    <r>
      <rPr>
        <sz val="10"/>
        <color indexed="8"/>
        <rFont val="Arial"/>
        <family val="2"/>
      </rPr>
      <t xml:space="preserve">. </t>
    </r>
  </si>
  <si>
    <r>
      <t xml:space="preserve">The qualifying cost for each relevant financial period is computed on a </t>
    </r>
    <r>
      <rPr>
        <u/>
        <sz val="10"/>
        <color theme="1"/>
        <rFont val="Arial"/>
        <family val="2"/>
      </rPr>
      <t>straight-line</t>
    </r>
    <r>
      <rPr>
        <sz val="10"/>
        <color theme="1"/>
        <rFont val="Arial"/>
        <family val="2"/>
      </rPr>
      <t xml:space="preserve"> basis </t>
    </r>
    <r>
      <rPr>
        <b/>
        <sz val="10"/>
        <color theme="1"/>
        <rFont val="Arial"/>
        <family val="2"/>
      </rPr>
      <t>regardless</t>
    </r>
    <r>
      <rPr>
        <sz val="10"/>
        <color theme="1"/>
        <rFont val="Arial"/>
        <family val="2"/>
      </rPr>
      <t xml:space="preserve"> of the actual principal sum repaid in each relevant financial period.</t>
    </r>
  </si>
  <si>
    <t>Productivity and Innovation Credit
Hire Purchase (HP) Template for Years of Assessment (YAs) 2013 to 2018</t>
  </si>
  <si>
    <t>Y</t>
  </si>
  <si>
    <t>9</t>
  </si>
  <si>
    <r>
      <t xml:space="preserve">
</t>
    </r>
    <r>
      <rPr>
        <b/>
        <u/>
        <sz val="11"/>
        <color rgb="FFFF0000"/>
        <rFont val="Arial"/>
        <family val="2"/>
      </rPr>
      <t xml:space="preserve">
</t>
    </r>
    <r>
      <rPr>
        <b/>
        <sz val="10"/>
        <color theme="1"/>
        <rFont val="Arial"/>
        <family val="2"/>
      </rPr>
      <t xml:space="preserve">
Productivity and Innovation Credit (PIC)
Hire Purchase (HP) Template for Years of Assessment (YAs) 2013 to 2018</t>
    </r>
  </si>
  <si>
    <r>
      <t xml:space="preserve">Do </t>
    </r>
    <r>
      <rPr>
        <b/>
        <u/>
        <sz val="11"/>
        <rFont val="Arial"/>
        <family val="2"/>
      </rPr>
      <t>not</t>
    </r>
    <r>
      <rPr>
        <b/>
        <sz val="11"/>
        <rFont val="Arial"/>
        <family val="2"/>
      </rPr>
      <t xml:space="preserve"> print this page for submission.</t>
    </r>
  </si>
  <si>
    <t>Please read the instructions below before completing this template.</t>
  </si>
  <si>
    <r>
      <t xml:space="preserve">Please fill this template in </t>
    </r>
    <r>
      <rPr>
        <b/>
        <sz val="10"/>
        <color indexed="8"/>
        <rFont val="Arial"/>
        <family val="2"/>
      </rPr>
      <t>soft-copy</t>
    </r>
    <r>
      <rPr>
        <sz val="10"/>
        <color indexed="8"/>
        <rFont val="Arial"/>
        <family val="2"/>
      </rPr>
      <t xml:space="preserve"> before printing. </t>
    </r>
    <r>
      <rPr>
        <u/>
        <sz val="10"/>
        <color indexed="8"/>
        <rFont val="Arial"/>
        <family val="2"/>
      </rPr>
      <t>Do not</t>
    </r>
    <r>
      <rPr>
        <sz val="10"/>
        <color indexed="8"/>
        <rFont val="Arial"/>
        <family val="2"/>
      </rPr>
      <t xml:space="preserve"> print it out and fill in manually.</t>
    </r>
  </si>
  <si>
    <r>
      <rPr>
        <b/>
        <u/>
        <sz val="10"/>
        <color indexed="8"/>
        <rFont val="Arial"/>
        <family val="2"/>
      </rPr>
      <t>Instructions for HP Equipment 5</t>
    </r>
    <r>
      <rPr>
        <sz val="10"/>
        <color indexed="8"/>
        <rFont val="Arial"/>
        <family val="2"/>
      </rPr>
      <t xml:space="preserve">
1. Ensure that this HP equipment is acquired in the </t>
    </r>
    <r>
      <rPr>
        <b/>
        <sz val="10"/>
        <color indexed="8"/>
        <rFont val="Arial"/>
        <family val="2"/>
      </rPr>
      <t>same YA</t>
    </r>
    <r>
      <rPr>
        <sz val="10"/>
        <color indexed="8"/>
        <rFont val="Arial"/>
        <family val="2"/>
      </rPr>
      <t xml:space="preserve"> as HP Equipment 1</t>
    </r>
    <r>
      <rPr>
        <sz val="10"/>
        <rFont val="Arial"/>
        <family val="2"/>
      </rPr>
      <t xml:space="preserve">
2. Parts (A) and (C) are pre-filled from your inputs in the tab "HP Equipment 1"
3. </t>
    </r>
    <r>
      <rPr>
        <b/>
        <sz val="10"/>
        <rFont val="Arial"/>
        <family val="2"/>
      </rPr>
      <t>Complete Part (B)</t>
    </r>
    <r>
      <rPr>
        <sz val="10"/>
        <color indexed="8"/>
        <rFont val="Arial"/>
        <family val="2"/>
      </rPr>
      <t xml:space="preserve">
4. Enter the qualifying cost displayed in Part (C) in your PIC Cash Payout Application Form
5. </t>
    </r>
    <r>
      <rPr>
        <b/>
        <sz val="10"/>
        <color indexed="8"/>
        <rFont val="Arial"/>
        <family val="2"/>
      </rPr>
      <t>Print all pages</t>
    </r>
    <r>
      <rPr>
        <sz val="10"/>
        <color indexed="8"/>
        <rFont val="Arial"/>
        <family val="2"/>
      </rPr>
      <t xml:space="preserve"> of the template and submit it with your PIC Cash Payout Application Form
6. Save a softcopy of the HP template. For future claims on the same HP equipment, update the relevant financial period in Part (C) of "HP Equipment 1" and repeat steps (4) and (5) above. </t>
    </r>
  </si>
  <si>
    <r>
      <rPr>
        <b/>
        <u/>
        <sz val="10"/>
        <color indexed="8"/>
        <rFont val="Arial"/>
        <family val="2"/>
      </rPr>
      <t>Instructions for HP Equipment 4</t>
    </r>
    <r>
      <rPr>
        <sz val="10"/>
        <color indexed="8"/>
        <rFont val="Arial"/>
        <family val="2"/>
      </rPr>
      <t xml:space="preserve">
1. Ensure that this HP equipment is acquired in the </t>
    </r>
    <r>
      <rPr>
        <b/>
        <sz val="10"/>
        <color indexed="8"/>
        <rFont val="Arial"/>
        <family val="2"/>
      </rPr>
      <t>same YA</t>
    </r>
    <r>
      <rPr>
        <sz val="10"/>
        <color indexed="8"/>
        <rFont val="Arial"/>
        <family val="2"/>
      </rPr>
      <t xml:space="preserve"> as HP Equipment 1</t>
    </r>
    <r>
      <rPr>
        <sz val="10"/>
        <rFont val="Arial"/>
        <family val="2"/>
      </rPr>
      <t xml:space="preserve">
2. Parts (A) and (C) are pre-filled from your inputs in the tab "HP Equipment 1"
3. </t>
    </r>
    <r>
      <rPr>
        <b/>
        <sz val="10"/>
        <rFont val="Arial"/>
        <family val="2"/>
      </rPr>
      <t>Complete Part (B)</t>
    </r>
    <r>
      <rPr>
        <sz val="10"/>
        <color indexed="8"/>
        <rFont val="Arial"/>
        <family val="2"/>
      </rPr>
      <t xml:space="preserve">
4. Enter the qualifying cost displayed in Part (C) in your PIC Cash Payout Application Form
5. </t>
    </r>
    <r>
      <rPr>
        <b/>
        <sz val="10"/>
        <color indexed="8"/>
        <rFont val="Arial"/>
        <family val="2"/>
      </rPr>
      <t>Print all pages</t>
    </r>
    <r>
      <rPr>
        <sz val="10"/>
        <color indexed="8"/>
        <rFont val="Arial"/>
        <family val="2"/>
      </rPr>
      <t xml:space="preserve"> of the template and submit it with your PIC Cash Payout Application Form
6. Save a softcopy of the HP template. For future claims on the same HP equipment, update the relevant financial period in Part (C) of "HP Equipment 1" and repeat steps (4) and (5) above. </t>
    </r>
  </si>
  <si>
    <r>
      <rPr>
        <b/>
        <u/>
        <sz val="10"/>
        <color indexed="8"/>
        <rFont val="Arial"/>
        <family val="2"/>
      </rPr>
      <t>Instructions for HP Equipment 3</t>
    </r>
    <r>
      <rPr>
        <sz val="10"/>
        <color indexed="8"/>
        <rFont val="Arial"/>
        <family val="2"/>
      </rPr>
      <t xml:space="preserve">
1. Ensure that this HP equipment is acquired in the </t>
    </r>
    <r>
      <rPr>
        <b/>
        <sz val="10"/>
        <color indexed="8"/>
        <rFont val="Arial"/>
        <family val="2"/>
      </rPr>
      <t>same YA</t>
    </r>
    <r>
      <rPr>
        <sz val="10"/>
        <color indexed="8"/>
        <rFont val="Arial"/>
        <family val="2"/>
      </rPr>
      <t xml:space="preserve"> as HP Equipment 1</t>
    </r>
    <r>
      <rPr>
        <sz val="10"/>
        <rFont val="Arial"/>
        <family val="2"/>
      </rPr>
      <t xml:space="preserve">
2. Parts (A) and (C) are pre-filled from your inputs in the tab "HP Equipment 1"
3. </t>
    </r>
    <r>
      <rPr>
        <b/>
        <sz val="10"/>
        <rFont val="Arial"/>
        <family val="2"/>
      </rPr>
      <t>Complete Part (B)</t>
    </r>
    <r>
      <rPr>
        <sz val="10"/>
        <color indexed="8"/>
        <rFont val="Arial"/>
        <family val="2"/>
      </rPr>
      <t xml:space="preserve">
4. Enter the qualifying cost displayed in Part (C) in your PIC Cash Payout Application Form
5. </t>
    </r>
    <r>
      <rPr>
        <b/>
        <sz val="10"/>
        <color indexed="8"/>
        <rFont val="Arial"/>
        <family val="2"/>
      </rPr>
      <t>Print all pages</t>
    </r>
    <r>
      <rPr>
        <sz val="10"/>
        <color indexed="8"/>
        <rFont val="Arial"/>
        <family val="2"/>
      </rPr>
      <t xml:space="preserve"> of the template and submit it with your PIC Cash Payout Application Form
6. Save a softcopy of the HP template. For future claims on the same HP equipment, update the relevant financial period in Part (C) of "HP Equipment 1" and repeat steps (4) and (5) above. </t>
    </r>
  </si>
  <si>
    <r>
      <rPr>
        <b/>
        <u/>
        <sz val="10"/>
        <color indexed="8"/>
        <rFont val="Arial"/>
        <family val="2"/>
      </rPr>
      <t>Instructions for HP Equipment 2</t>
    </r>
    <r>
      <rPr>
        <sz val="10"/>
        <color indexed="8"/>
        <rFont val="Arial"/>
        <family val="2"/>
      </rPr>
      <t xml:space="preserve">
1. Ensure that this HP equipment is acquired in the </t>
    </r>
    <r>
      <rPr>
        <b/>
        <sz val="10"/>
        <color indexed="8"/>
        <rFont val="Arial"/>
        <family val="2"/>
      </rPr>
      <t>same YA</t>
    </r>
    <r>
      <rPr>
        <sz val="10"/>
        <color indexed="8"/>
        <rFont val="Arial"/>
        <family val="2"/>
      </rPr>
      <t xml:space="preserve"> as HP Equipment 1</t>
    </r>
    <r>
      <rPr>
        <sz val="10"/>
        <rFont val="Arial"/>
        <family val="2"/>
      </rPr>
      <t xml:space="preserve">
2. Parts (A) and (C) are pre-filled from your inputs in the tab "HP Equipment 1"
3. </t>
    </r>
    <r>
      <rPr>
        <b/>
        <sz val="10"/>
        <rFont val="Arial"/>
        <family val="2"/>
      </rPr>
      <t>Complete Part (B)</t>
    </r>
    <r>
      <rPr>
        <sz val="10"/>
        <color indexed="8"/>
        <rFont val="Arial"/>
        <family val="2"/>
      </rPr>
      <t xml:space="preserve">
4. Enter the qualifying cost displayed in Part (C) in your PIC Cash Payout Application Form
5. </t>
    </r>
    <r>
      <rPr>
        <b/>
        <sz val="10"/>
        <color indexed="8"/>
        <rFont val="Arial"/>
        <family val="2"/>
      </rPr>
      <t>Print all pages</t>
    </r>
    <r>
      <rPr>
        <sz val="10"/>
        <color indexed="8"/>
        <rFont val="Arial"/>
        <family val="2"/>
      </rPr>
      <t xml:space="preserve"> of the template and submit it with your PIC Cash Payout Application Form
6. Save a softcopy of the HP template. For future claims on the same HP equipment, update the relevant financial period in Part (C) of "HP Equipment 1" and repeat steps (4) and (5) above. </t>
    </r>
  </si>
  <si>
    <r>
      <rPr>
        <b/>
        <u/>
        <sz val="10"/>
        <color indexed="8"/>
        <rFont val="Arial"/>
        <family val="2"/>
      </rPr>
      <t>Instructions for HP Equipment 1</t>
    </r>
    <r>
      <rPr>
        <sz val="10"/>
        <color indexed="8"/>
        <rFont val="Arial"/>
        <family val="2"/>
      </rPr>
      <t xml:space="preserve">
1. </t>
    </r>
    <r>
      <rPr>
        <b/>
        <sz val="10"/>
        <color indexed="8"/>
        <rFont val="Arial"/>
        <family val="2"/>
      </rPr>
      <t>Complete Parts (A) to (C)</t>
    </r>
    <r>
      <rPr>
        <sz val="10"/>
        <color indexed="8"/>
        <rFont val="Arial"/>
        <family val="2"/>
      </rPr>
      <t xml:space="preserve">
2. Enter the qualifying cost computed in Part (C) in Annex A1 of your PIC Cash Payout Application Form
3. If you acquired other HP equipment in the same YA, complete the relevant tab(s) "HP Equipment 2" to "HP Equipment 5" </t>
    </r>
    <r>
      <rPr>
        <b/>
        <sz val="10"/>
        <color indexed="8"/>
        <rFont val="Arial"/>
        <family val="2"/>
      </rPr>
      <t>in sequential order</t>
    </r>
    <r>
      <rPr>
        <sz val="10"/>
        <color indexed="8"/>
        <rFont val="Arial"/>
        <family val="2"/>
      </rPr>
      <t>. Skipping a tab will result in computation errors
4.</t>
    </r>
    <r>
      <rPr>
        <b/>
        <sz val="10"/>
        <color indexed="8"/>
        <rFont val="Arial"/>
        <family val="2"/>
      </rPr>
      <t xml:space="preserve"> Print all pages</t>
    </r>
    <r>
      <rPr>
        <sz val="10"/>
        <color indexed="8"/>
        <rFont val="Arial"/>
        <family val="2"/>
      </rPr>
      <t xml:space="preserve"> of the HP template and submit it with your PIC Cash Payout Application Form
5. Save a softcopy of the HP template.</t>
    </r>
    <r>
      <rPr>
        <b/>
        <sz val="10"/>
        <color indexed="8"/>
        <rFont val="Arial"/>
        <family val="2"/>
      </rPr>
      <t xml:space="preserve"> </t>
    </r>
    <r>
      <rPr>
        <sz val="10"/>
        <color indexed="8"/>
        <rFont val="Arial"/>
        <family val="2"/>
      </rPr>
      <t xml:space="preserve">For future claims on the same HP equipment, update the relevant financial period in Part (C) and repeat steps (2) and (4) above. </t>
    </r>
  </si>
  <si>
    <t>1 UNIT ABC Supreme CNC Milling Machine</t>
  </si>
  <si>
    <t>DEF HIRER PTE LTD</t>
  </si>
  <si>
    <r>
      <rPr>
        <b/>
        <sz val="10"/>
        <color theme="1"/>
        <rFont val="Arial"/>
        <family val="2"/>
      </rPr>
      <t>You are required to fill in</t>
    </r>
    <r>
      <rPr>
        <sz val="10"/>
        <color theme="1"/>
        <rFont val="Arial"/>
        <family val="2"/>
      </rPr>
      <t xml:space="preserve"> this template </t>
    </r>
    <r>
      <rPr>
        <b/>
        <u/>
        <sz val="10"/>
        <color theme="1"/>
        <rFont val="Arial"/>
        <family val="2"/>
      </rPr>
      <t>strictly</t>
    </r>
    <r>
      <rPr>
        <sz val="10"/>
        <color theme="1"/>
        <rFont val="Arial"/>
        <family val="2"/>
      </rPr>
      <t xml:space="preserve"> according to the details stated in the Hire Purchase Agreement.</t>
    </r>
  </si>
  <si>
    <t>201234567D</t>
  </si>
  <si>
    <t>(A4) Is the business GST registered?</t>
  </si>
  <si>
    <t>If you have received any grants for the HP equipment, please enter the grant amount under "Non-qualifying costs"</t>
  </si>
  <si>
    <t>5</t>
  </si>
  <si>
    <t>10</t>
  </si>
  <si>
    <r>
      <t xml:space="preserve">(B13) </t>
    </r>
    <r>
      <rPr>
        <sz val="10"/>
        <rFont val="Arial"/>
        <family val="2"/>
      </rPr>
      <t>Non-qualifying costs</t>
    </r>
  </si>
  <si>
    <t>(B13) Non-qualifying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</si>
</sst>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dd/mm"/>
    <numFmt numFmtId="165" formatCode="&quot;$&quot;#,##0"/>
    <numFmt numFmtId="166" formatCode="&quot;$&quot;#,#00;\-0;;@"/>
    <numFmt numFmtId="167" formatCode="d\ mmm"/>
    <numFmt numFmtId="168" formatCode="&quot;$&quot;#,##0;\-0;;@"/>
    <numFmt numFmtId="169" formatCode="dd\ mmm"/>
    <numFmt numFmtId="170" formatCode="0.000000"/>
  </numFmts>
  <fonts count="21" x14ac:knownFonts="1">
    <font>
      <sz val="12"/>
      <color theme="1"/>
      <name val="Calibri"/>
      <family val="2"/>
      <scheme val="minor"/>
    </font>
    <font>
      <sz val="8"/>
      <name val="Calibri"/>
      <family val="2"/>
    </font>
    <font>
      <b/>
      <sz val="10"/>
      <color indexed="8"/>
      <name val="Arial"/>
      <family val="2"/>
    </font>
    <font>
      <sz val="10"/>
      <color indexed="8"/>
      <name val="Arial"/>
      <family val="2"/>
    </font>
    <font>
      <sz val="10"/>
      <name val="Arial"/>
      <family val="2"/>
    </font>
    <font>
      <b/>
      <sz val="10"/>
      <name val="Arial"/>
      <family val="2"/>
    </font>
    <font>
      <u/>
      <sz val="10"/>
      <color indexed="8"/>
      <name val="Arial"/>
      <family val="2"/>
    </font>
    <font>
      <b/>
      <u/>
      <sz val="10"/>
      <color indexed="8"/>
      <name val="Arial"/>
      <family val="2"/>
    </font>
    <font>
      <sz val="12"/>
      <color theme="1"/>
      <name val="Calibri"/>
      <family val="2"/>
      <scheme val="minor"/>
    </font>
    <font>
      <sz val="10"/>
      <color theme="1"/>
      <name val="Arial"/>
      <family val="2"/>
    </font>
    <font>
      <b/>
      <sz val="10"/>
      <color theme="1"/>
      <name val="Arial"/>
      <family val="2"/>
    </font>
    <font>
      <i/>
      <sz val="10"/>
      <color theme="1"/>
      <name val="Arial"/>
      <family val="2"/>
    </font>
    <font>
      <u/>
      <sz val="10"/>
      <color theme="1"/>
      <name val="Arial"/>
      <family val="2"/>
    </font>
    <font>
      <sz val="8"/>
      <color theme="1"/>
      <name val="Arial"/>
      <family val="2"/>
    </font>
    <font>
      <b/>
      <sz val="10"/>
      <color rgb="FFFF0000"/>
      <name val="Arial"/>
      <family val="2"/>
    </font>
    <font>
      <b/>
      <u/>
      <sz val="10"/>
      <color theme="1"/>
      <name val="Arial"/>
      <family val="2"/>
    </font>
    <font>
      <b/>
      <u/>
      <sz val="11"/>
      <color rgb="FFFF0000"/>
      <name val="Arial"/>
      <family val="2"/>
    </font>
    <font>
      <sz val="10"/>
      <color theme="3" tint="0.39997558519241921"/>
      <name val="Arial"/>
      <family val="2"/>
    </font>
    <font>
      <b/>
      <sz val="11"/>
      <name val="Arial"/>
      <family val="2"/>
    </font>
    <font>
      <b/>
      <u/>
      <sz val="11"/>
      <name val="Arial"/>
      <family val="2"/>
    </font>
    <font>
      <b/>
      <sz val="10"/>
      <color theme="3" tint="0.39997558519241921"/>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8" fillId="0" borderId="0" applyFont="0" applyFill="0" applyBorder="0" applyAlignment="0" applyProtection="0"/>
  </cellStyleXfs>
  <cellXfs count="172">
    <xf numFmtId="0" fontId="0" fillId="0" borderId="0" xfId="0"/>
    <xf numFmtId="0" fontId="9" fillId="0" borderId="0" xfId="0" applyFont="1"/>
    <xf numFmtId="1" fontId="9" fillId="0" borderId="1" xfId="0" applyNumberFormat="1" applyFont="1" applyBorder="1" applyAlignment="1">
      <alignment horizontal="center"/>
    </xf>
    <xf numFmtId="168" fontId="9" fillId="0" borderId="2" xfId="0" applyNumberFormat="1" applyFont="1" applyBorder="1" applyAlignment="1">
      <alignment horizontal="center"/>
    </xf>
    <xf numFmtId="168" fontId="9" fillId="0" borderId="3" xfId="0" applyNumberFormat="1" applyFont="1" applyBorder="1" applyAlignment="1">
      <alignment horizontal="center"/>
    </xf>
    <xf numFmtId="0" fontId="9" fillId="0" borderId="4" xfId="0" applyFont="1" applyBorder="1" applyAlignment="1">
      <alignment horizontal="center"/>
    </xf>
    <xf numFmtId="168" fontId="9" fillId="0" borderId="5" xfId="0" applyNumberFormat="1" applyFont="1" applyBorder="1" applyAlignment="1">
      <alignment horizontal="center"/>
    </xf>
    <xf numFmtId="168" fontId="9" fillId="0" borderId="6" xfId="0" applyNumberFormat="1" applyFont="1" applyBorder="1" applyAlignment="1">
      <alignment horizontal="center"/>
    </xf>
    <xf numFmtId="0" fontId="9" fillId="0" borderId="7" xfId="0" applyFont="1" applyBorder="1"/>
    <xf numFmtId="168" fontId="9" fillId="0" borderId="8" xfId="0" applyNumberFormat="1" applyFont="1" applyBorder="1" applyAlignment="1">
      <alignment horizontal="center"/>
    </xf>
    <xf numFmtId="0" fontId="9" fillId="0" borderId="9" xfId="0" applyFont="1" applyBorder="1" applyAlignment="1">
      <alignment horizontal="center"/>
    </xf>
    <xf numFmtId="168" fontId="9" fillId="0" borderId="11" xfId="0" applyNumberFormat="1" applyFont="1" applyBorder="1" applyAlignment="1">
      <alignment horizontal="center"/>
    </xf>
    <xf numFmtId="0" fontId="9" fillId="0" borderId="12" xfId="0" applyFont="1" applyBorder="1"/>
    <xf numFmtId="0" fontId="9" fillId="0" borderId="13" xfId="0" applyFont="1" applyBorder="1"/>
    <xf numFmtId="0" fontId="10" fillId="0" borderId="13" xfId="0" applyFont="1" applyBorder="1"/>
    <xf numFmtId="165" fontId="9" fillId="0" borderId="14" xfId="0" applyNumberFormat="1" applyFont="1" applyBorder="1"/>
    <xf numFmtId="0" fontId="10" fillId="0" borderId="1" xfId="0" applyFont="1" applyBorder="1" applyAlignment="1">
      <alignment horizontal="left"/>
    </xf>
    <xf numFmtId="165" fontId="9" fillId="0" borderId="3" xfId="0" applyNumberFormat="1"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6" xfId="0" applyFont="1" applyBorder="1" applyAlignment="1">
      <alignment horizontal="center"/>
    </xf>
    <xf numFmtId="0" fontId="10" fillId="0" borderId="4" xfId="0" applyFont="1" applyBorder="1" applyAlignment="1">
      <alignment horizontal="left"/>
    </xf>
    <xf numFmtId="165" fontId="9" fillId="0" borderId="6" xfId="0" applyNumberFormat="1" applyFont="1" applyBorder="1" applyAlignment="1">
      <alignment horizontal="center"/>
    </xf>
    <xf numFmtId="0" fontId="10" fillId="0" borderId="9" xfId="0" applyFont="1" applyBorder="1" applyAlignment="1">
      <alignment horizontal="left"/>
    </xf>
    <xf numFmtId="165" fontId="9" fillId="0" borderId="11" xfId="0" applyNumberFormat="1" applyFont="1" applyBorder="1" applyAlignment="1">
      <alignment horizontal="center"/>
    </xf>
    <xf numFmtId="0" fontId="9" fillId="0" borderId="3" xfId="0" applyFont="1" applyBorder="1" applyAlignment="1">
      <alignment horizontal="center"/>
    </xf>
    <xf numFmtId="0" fontId="9" fillId="0" borderId="0" xfId="0" applyFont="1" applyAlignment="1">
      <alignment horizontal="center"/>
    </xf>
    <xf numFmtId="0" fontId="10" fillId="0" borderId="9" xfId="0" applyFont="1" applyBorder="1"/>
    <xf numFmtId="14" fontId="9" fillId="0" borderId="11" xfId="0" applyNumberFormat="1" applyFont="1" applyBorder="1" applyAlignment="1">
      <alignment horizontal="center"/>
    </xf>
    <xf numFmtId="0" fontId="9" fillId="0" borderId="0" xfId="0" applyFont="1" applyAlignment="1">
      <alignment horizontal="right"/>
    </xf>
    <xf numFmtId="14" fontId="9" fillId="0" borderId="0" xfId="0" applyNumberFormat="1" applyFont="1" applyAlignment="1">
      <alignment horizontal="center"/>
    </xf>
    <xf numFmtId="0" fontId="9" fillId="0" borderId="1" xfId="0" applyFont="1" applyBorder="1"/>
    <xf numFmtId="0" fontId="9" fillId="0" borderId="2" xfId="0" applyFont="1" applyBorder="1"/>
    <xf numFmtId="0" fontId="9" fillId="0" borderId="3" xfId="0" applyFont="1" applyBorder="1"/>
    <xf numFmtId="166" fontId="9" fillId="0" borderId="5" xfId="0" applyNumberFormat="1" applyFont="1" applyBorder="1"/>
    <xf numFmtId="166" fontId="9" fillId="0" borderId="6" xfId="0" applyNumberFormat="1" applyFont="1" applyBorder="1"/>
    <xf numFmtId="0" fontId="9" fillId="0" borderId="6" xfId="0" applyFont="1" applyBorder="1"/>
    <xf numFmtId="0" fontId="9" fillId="0" borderId="5" xfId="0" applyFont="1" applyBorder="1"/>
    <xf numFmtId="166" fontId="9" fillId="0" borderId="10" xfId="0" applyNumberFormat="1" applyFont="1" applyBorder="1"/>
    <xf numFmtId="0" fontId="9" fillId="0" borderId="10" xfId="0" applyFont="1" applyBorder="1"/>
    <xf numFmtId="0" fontId="9" fillId="0" borderId="11" xfId="0" applyFont="1" applyBorder="1"/>
    <xf numFmtId="169" fontId="9" fillId="0" borderId="2" xfId="0" applyNumberFormat="1" applyFont="1" applyBorder="1"/>
    <xf numFmtId="169" fontId="9" fillId="0" borderId="3" xfId="0" applyNumberFormat="1" applyFont="1" applyBorder="1"/>
    <xf numFmtId="0" fontId="9" fillId="0" borderId="4" xfId="0" applyFont="1" applyBorder="1"/>
    <xf numFmtId="164" fontId="9" fillId="0" borderId="0" xfId="0" applyNumberFormat="1" applyFont="1"/>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9" fillId="0" borderId="2" xfId="0" applyFont="1" applyBorder="1" applyAlignment="1">
      <alignment horizontal="center"/>
    </xf>
    <xf numFmtId="0" fontId="9" fillId="0" borderId="21"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9" xfId="0" applyFont="1" applyBorder="1"/>
    <xf numFmtId="0" fontId="10" fillId="0" borderId="0" xfId="0" applyFont="1" applyAlignment="1">
      <alignment horizontal="center"/>
    </xf>
    <xf numFmtId="0" fontId="11" fillId="0" borderId="22" xfId="0" applyFont="1" applyBorder="1"/>
    <xf numFmtId="167" fontId="9" fillId="0" borderId="0" xfId="0" applyNumberFormat="1" applyFont="1" applyAlignment="1">
      <alignment horizontal="center"/>
    </xf>
    <xf numFmtId="0" fontId="9" fillId="0" borderId="0" xfId="0" applyFont="1" applyAlignment="1">
      <alignment wrapText="1"/>
    </xf>
    <xf numFmtId="0" fontId="9"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center"/>
    </xf>
    <xf numFmtId="0" fontId="9" fillId="0" borderId="0" xfId="0" applyFont="1" applyAlignment="1">
      <alignment horizontal="center" vertical="top"/>
    </xf>
    <xf numFmtId="0" fontId="9" fillId="0" borderId="0" xfId="0" applyFont="1" applyAlignment="1">
      <alignment horizontal="left"/>
    </xf>
    <xf numFmtId="0" fontId="9" fillId="2" borderId="0" xfId="0" applyFont="1" applyFill="1"/>
    <xf numFmtId="49" fontId="9" fillId="2" borderId="0" xfId="0" applyNumberFormat="1" applyFont="1" applyFill="1" applyAlignment="1">
      <alignment horizontal="left" vertical="top"/>
    </xf>
    <xf numFmtId="0" fontId="9"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wrapText="1"/>
    </xf>
    <xf numFmtId="0" fontId="9" fillId="2" borderId="0" xfId="0" applyFont="1" applyFill="1" applyAlignment="1">
      <alignment horizontal="left" vertical="top"/>
    </xf>
    <xf numFmtId="0" fontId="10" fillId="0" borderId="23" xfId="0" applyFont="1" applyBorder="1" applyAlignment="1">
      <alignment horizontal="lef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2" xfId="0" applyFont="1" applyBorder="1" applyAlignment="1">
      <alignment vertical="center"/>
    </xf>
    <xf numFmtId="0" fontId="9" fillId="0" borderId="7" xfId="0" applyFont="1" applyBorder="1" applyAlignment="1">
      <alignment vertical="center"/>
    </xf>
    <xf numFmtId="0" fontId="9" fillId="0" borderId="26" xfId="0" applyFont="1" applyBorder="1" applyAlignment="1" applyProtection="1">
      <alignment horizontal="center" vertical="center"/>
      <protection locked="0"/>
    </xf>
    <xf numFmtId="14" fontId="9" fillId="0" borderId="5" xfId="0" applyNumberFormat="1" applyFont="1" applyBorder="1" applyAlignment="1" applyProtection="1">
      <alignment horizontal="center" vertical="center"/>
      <protection locked="0"/>
    </xf>
    <xf numFmtId="14" fontId="4" fillId="0" borderId="5"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65" fontId="9" fillId="0" borderId="5" xfId="0" applyNumberFormat="1" applyFont="1" applyBorder="1" applyAlignment="1" applyProtection="1">
      <alignment horizontal="center" vertical="center"/>
      <protection locked="0"/>
    </xf>
    <xf numFmtId="165" fontId="4" fillId="0" borderId="5" xfId="1" applyNumberFormat="1" applyFont="1" applyFill="1" applyBorder="1" applyAlignment="1" applyProtection="1">
      <alignment horizontal="center" vertical="center"/>
      <protection locked="0"/>
    </xf>
    <xf numFmtId="165" fontId="4" fillId="0" borderId="5" xfId="0" applyNumberFormat="1" applyFont="1" applyBorder="1" applyAlignment="1" applyProtection="1">
      <alignment horizontal="center" vertical="center"/>
      <protection locked="0"/>
    </xf>
    <xf numFmtId="165" fontId="5" fillId="0" borderId="0" xfId="0" applyNumberFormat="1" applyFont="1" applyAlignment="1">
      <alignment horizontal="center" vertical="center"/>
    </xf>
    <xf numFmtId="165" fontId="9" fillId="0" borderId="0" xfId="0" applyNumberFormat="1" applyFont="1" applyAlignment="1">
      <alignment horizontal="center" vertical="center"/>
    </xf>
    <xf numFmtId="0" fontId="10" fillId="0" borderId="22" xfId="0" applyFont="1" applyBorder="1" applyAlignment="1">
      <alignment horizontal="left" vertical="center"/>
    </xf>
    <xf numFmtId="14" fontId="9" fillId="0" borderId="0" xfId="0" applyNumberFormat="1" applyFont="1" applyAlignment="1">
      <alignment horizontal="center" vertical="center"/>
    </xf>
    <xf numFmtId="0" fontId="9" fillId="0" borderId="22" xfId="0" applyFont="1" applyBorder="1" applyAlignment="1">
      <alignment horizontal="left" vertical="center"/>
    </xf>
    <xf numFmtId="0" fontId="10" fillId="0" borderId="0" xfId="0" applyFont="1" applyAlignment="1">
      <alignment horizontal="center" vertical="center"/>
    </xf>
    <xf numFmtId="0" fontId="10" fillId="0" borderId="22" xfId="0" applyFont="1" applyBorder="1" applyAlignment="1">
      <alignment vertical="center"/>
    </xf>
    <xf numFmtId="165" fontId="5" fillId="3" borderId="27" xfId="0" applyNumberFormat="1" applyFont="1" applyFill="1" applyBorder="1" applyAlignment="1">
      <alignment horizontal="center"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5" xfId="0" applyFont="1" applyBorder="1" applyAlignment="1" applyProtection="1">
      <alignment horizontal="center" vertical="center"/>
      <protection locked="0"/>
    </xf>
    <xf numFmtId="167" fontId="4" fillId="0" borderId="5" xfId="0" applyNumberFormat="1" applyFont="1" applyBorder="1" applyAlignment="1" applyProtection="1">
      <alignment horizontal="center" vertical="center"/>
      <protection locked="0"/>
    </xf>
    <xf numFmtId="3" fontId="4" fillId="0" borderId="5" xfId="0" applyNumberFormat="1" applyFont="1" applyBorder="1" applyAlignment="1" applyProtection="1">
      <alignment horizontal="center" vertical="center"/>
      <protection locked="0"/>
    </xf>
    <xf numFmtId="0" fontId="9" fillId="0" borderId="24" xfId="0" applyFont="1" applyBorder="1" applyAlignment="1">
      <alignment horizontal="center" vertical="center"/>
    </xf>
    <xf numFmtId="0" fontId="11" fillId="0" borderId="22" xfId="0" applyFont="1" applyBorder="1" applyAlignment="1">
      <alignment vertical="center"/>
    </xf>
    <xf numFmtId="14" fontId="9" fillId="0" borderId="0" xfId="0" applyNumberFormat="1" applyFont="1" applyAlignment="1" applyProtection="1">
      <alignment horizontal="center" vertical="center"/>
      <protection locked="0"/>
    </xf>
    <xf numFmtId="0" fontId="9" fillId="0" borderId="13" xfId="0" applyFont="1" applyBorder="1" applyAlignment="1">
      <alignment vertical="center"/>
    </xf>
    <xf numFmtId="0" fontId="10" fillId="0" borderId="19" xfId="0" applyFont="1" applyBorder="1" applyAlignment="1">
      <alignment horizontal="center" vertical="center"/>
    </xf>
    <xf numFmtId="0" fontId="10" fillId="0" borderId="28" xfId="0" applyFont="1" applyBorder="1" applyAlignment="1">
      <alignment horizontal="center"/>
    </xf>
    <xf numFmtId="167" fontId="9" fillId="0" borderId="21" xfId="0" applyNumberFormat="1" applyFont="1" applyBorder="1" applyAlignment="1">
      <alignment horizontal="center"/>
    </xf>
    <xf numFmtId="167" fontId="9" fillId="0" borderId="29" xfId="0" applyNumberFormat="1" applyFont="1" applyBorder="1" applyAlignment="1">
      <alignment horizontal="center"/>
    </xf>
    <xf numFmtId="14" fontId="9" fillId="0" borderId="11" xfId="0" applyNumberFormat="1" applyFont="1" applyBorder="1"/>
    <xf numFmtId="0" fontId="10" fillId="0" borderId="1" xfId="0" applyFont="1" applyBorder="1"/>
    <xf numFmtId="0" fontId="4" fillId="0" borderId="22" xfId="0" applyFont="1" applyBorder="1" applyAlignment="1">
      <alignment vertical="center"/>
    </xf>
    <xf numFmtId="0" fontId="9" fillId="0" borderId="30" xfId="0" applyFont="1" applyBorder="1" applyAlignment="1">
      <alignment vertical="center"/>
    </xf>
    <xf numFmtId="0" fontId="9" fillId="0" borderId="30" xfId="0" applyFont="1" applyBorder="1" applyAlignment="1">
      <alignment horizontal="center" vertical="center"/>
    </xf>
    <xf numFmtId="165" fontId="10" fillId="0" borderId="0" xfId="0" applyNumberFormat="1" applyFont="1" applyAlignment="1">
      <alignment horizontal="center" vertical="center"/>
    </xf>
    <xf numFmtId="165" fontId="4" fillId="0" borderId="31" xfId="1" applyNumberFormat="1" applyFont="1" applyFill="1" applyBorder="1" applyAlignment="1" applyProtection="1">
      <alignment horizontal="center" vertical="center"/>
    </xf>
    <xf numFmtId="169" fontId="9" fillId="0" borderId="0" xfId="0" applyNumberFormat="1" applyFont="1" applyAlignment="1">
      <alignment horizontal="center" vertical="center"/>
    </xf>
    <xf numFmtId="0" fontId="13" fillId="0" borderId="0" xfId="0" applyFont="1"/>
    <xf numFmtId="0" fontId="10" fillId="2" borderId="0" xfId="0" applyFont="1" applyFill="1" applyAlignment="1">
      <alignment horizontal="left" vertical="top" wrapText="1"/>
    </xf>
    <xf numFmtId="0" fontId="17" fillId="0" borderId="0" xfId="0" applyFont="1"/>
    <xf numFmtId="165" fontId="4" fillId="0" borderId="5" xfId="0" applyNumberFormat="1" applyFont="1" applyBorder="1" applyAlignment="1">
      <alignment horizontal="center" vertical="center"/>
    </xf>
    <xf numFmtId="165" fontId="4" fillId="0" borderId="5" xfId="1" applyNumberFormat="1" applyFont="1" applyFill="1" applyBorder="1" applyAlignment="1" applyProtection="1">
      <alignment horizontal="center" vertical="center"/>
    </xf>
    <xf numFmtId="0" fontId="18" fillId="2" borderId="0" xfId="0" applyFont="1" applyFill="1" applyAlignment="1">
      <alignment vertical="top"/>
    </xf>
    <xf numFmtId="0" fontId="20" fillId="0" borderId="26" xfId="0" applyFont="1" applyBorder="1" applyAlignment="1">
      <alignment horizontal="center" vertical="center"/>
    </xf>
    <xf numFmtId="0" fontId="20" fillId="0" borderId="5" xfId="0" applyFont="1" applyBorder="1" applyAlignment="1">
      <alignment horizontal="center" vertical="center"/>
    </xf>
    <xf numFmtId="167" fontId="20" fillId="0" borderId="5" xfId="0" applyNumberFormat="1" applyFont="1" applyBorder="1" applyAlignment="1">
      <alignment horizontal="center" vertical="center"/>
    </xf>
    <xf numFmtId="3" fontId="20" fillId="0" borderId="5" xfId="0" applyNumberFormat="1" applyFont="1" applyBorder="1" applyAlignment="1">
      <alignment horizontal="center" vertical="center"/>
    </xf>
    <xf numFmtId="14" fontId="20" fillId="0" borderId="5" xfId="0" applyNumberFormat="1" applyFont="1" applyBorder="1" applyAlignment="1">
      <alignment horizontal="center" vertical="center"/>
    </xf>
    <xf numFmtId="165" fontId="20" fillId="0" borderId="5" xfId="0" applyNumberFormat="1" applyFont="1" applyBorder="1" applyAlignment="1">
      <alignment horizontal="center" vertical="center"/>
    </xf>
    <xf numFmtId="165" fontId="20" fillId="0" borderId="5" xfId="1" applyNumberFormat="1" applyFont="1" applyFill="1" applyBorder="1" applyAlignment="1" applyProtection="1">
      <alignment horizontal="center" vertical="center"/>
    </xf>
    <xf numFmtId="0" fontId="9" fillId="2" borderId="0" xfId="0" applyFont="1" applyFill="1" applyAlignment="1">
      <alignment horizontal="left" wrapText="1"/>
    </xf>
    <xf numFmtId="168" fontId="9" fillId="0" borderId="10" xfId="0" applyNumberFormat="1" applyFont="1" applyBorder="1" applyAlignment="1">
      <alignment horizontal="center"/>
    </xf>
    <xf numFmtId="168" fontId="9" fillId="0" borderId="5" xfId="0" applyNumberFormat="1" applyFont="1" applyBorder="1"/>
    <xf numFmtId="170" fontId="9" fillId="0" borderId="0" xfId="0" applyNumberFormat="1" applyFont="1"/>
    <xf numFmtId="0" fontId="4" fillId="0" borderId="0" xfId="0" applyFont="1"/>
    <xf numFmtId="0" fontId="9" fillId="2" borderId="0" xfId="0" applyFont="1" applyFill="1" applyAlignment="1">
      <alignment horizontal="left" wrapText="1"/>
    </xf>
    <xf numFmtId="0" fontId="10" fillId="2" borderId="0" xfId="0" applyFont="1" applyFill="1" applyAlignment="1">
      <alignment horizontal="center" wrapText="1"/>
    </xf>
    <xf numFmtId="0" fontId="9" fillId="2" borderId="0" xfId="0" applyFont="1" applyFill="1" applyAlignment="1">
      <alignment horizontal="left" vertical="top" wrapText="1"/>
    </xf>
    <xf numFmtId="0" fontId="10" fillId="2" borderId="0" xfId="0" applyFont="1" applyFill="1" applyAlignment="1">
      <alignment horizontal="left" vertical="top" wrapText="1"/>
    </xf>
    <xf numFmtId="0" fontId="14" fillId="2" borderId="0" xfId="0" applyFont="1" applyFill="1" applyAlignment="1">
      <alignment vertical="center" wrapText="1"/>
    </xf>
    <xf numFmtId="0" fontId="10" fillId="2" borderId="0" xfId="0" applyFont="1" applyFill="1" applyAlignment="1">
      <alignment horizontal="left" wrapText="1"/>
    </xf>
    <xf numFmtId="0" fontId="18" fillId="0" borderId="0" xfId="0" applyFont="1" applyAlignment="1">
      <alignment horizontal="center"/>
    </xf>
    <xf numFmtId="0" fontId="4" fillId="0" borderId="0" xfId="0" applyFont="1" applyAlignment="1">
      <alignment horizontal="center" wrapText="1"/>
    </xf>
    <xf numFmtId="0" fontId="10" fillId="0" borderId="0" xfId="0" applyFont="1" applyAlignment="1">
      <alignment horizontal="center"/>
    </xf>
    <xf numFmtId="0" fontId="10" fillId="0" borderId="0" xfId="0" applyFont="1" applyAlignment="1">
      <alignment horizontal="right" vertical="center" textRotation="90"/>
    </xf>
    <xf numFmtId="0" fontId="10" fillId="0" borderId="37" xfId="0" applyFont="1" applyBorder="1" applyAlignment="1">
      <alignment horizontal="center" wrapText="1"/>
    </xf>
    <xf numFmtId="0" fontId="10" fillId="0" borderId="30" xfId="0" applyFont="1" applyBorder="1" applyAlignment="1">
      <alignment horizontal="center" wrapText="1"/>
    </xf>
    <xf numFmtId="0" fontId="10" fillId="0" borderId="38"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0" fontId="10" fillId="0" borderId="14" xfId="0" applyFont="1" applyBorder="1" applyAlignment="1">
      <alignment horizontal="center" wrapText="1"/>
    </xf>
    <xf numFmtId="0" fontId="10" fillId="0" borderId="36"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3" fillId="0" borderId="37" xfId="0" applyFont="1" applyBorder="1" applyAlignment="1">
      <alignment horizontal="left" vertical="top" wrapText="1"/>
    </xf>
    <xf numFmtId="0" fontId="9" fillId="0" borderId="30" xfId="0" applyFont="1" applyBorder="1" applyAlignment="1">
      <alignment horizontal="left" vertical="top" wrapText="1"/>
    </xf>
    <xf numFmtId="0" fontId="9" fillId="0" borderId="38" xfId="0" applyFont="1" applyBorder="1" applyAlignment="1">
      <alignment horizontal="left" vertical="top" wrapText="1"/>
    </xf>
    <xf numFmtId="0" fontId="9" fillId="0" borderId="22"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wrapText="1"/>
    </xf>
    <xf numFmtId="0" fontId="9" fillId="0" borderId="0" xfId="0" applyFont="1" applyAlignment="1">
      <alignment horizontal="center" vertical="center"/>
    </xf>
    <xf numFmtId="0" fontId="10" fillId="0" borderId="2" xfId="0" applyFont="1" applyBorder="1" applyAlignment="1">
      <alignment horizontal="center" vertical="center"/>
    </xf>
    <xf numFmtId="0" fontId="10" fillId="0" borderId="32" xfId="0" applyFont="1" applyBorder="1" applyAlignment="1">
      <alignment horizontal="center" vertical="center"/>
    </xf>
    <xf numFmtId="0" fontId="10" fillId="0" borderId="18" xfId="0" applyFont="1" applyBorder="1" applyAlignment="1">
      <alignment horizontal="center" vertical="center"/>
    </xf>
    <xf numFmtId="0" fontId="10" fillId="0" borderId="3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0" xfId="0" applyFont="1" applyBorder="1" applyAlignment="1">
      <alignment horizontal="center"/>
    </xf>
    <xf numFmtId="0" fontId="10" fillId="0" borderId="38"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9" fillId="0" borderId="37" xfId="0" applyFont="1" applyBorder="1" applyAlignment="1">
      <alignment horizontal="left" vertical="top" wrapText="1"/>
    </xf>
  </cellXfs>
  <cellStyles count="2">
    <cellStyle name="Comma" xfId="1" builtinId="3"/>
    <cellStyle name="Normal" xfId="0" builtinId="0"/>
  </cellStyles>
  <dxfs count="1">
    <dxf>
      <fill>
        <patternFill patternType="none">
          <fgColor rgb="FF000000"/>
          <bgColor rgb="FFFFFFFF"/>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2.wmf"/></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26</xdr:col>
      <xdr:colOff>21166</xdr:colOff>
      <xdr:row>0</xdr:row>
      <xdr:rowOff>0</xdr:rowOff>
    </xdr:from>
    <xdr:to>
      <xdr:col>31</xdr:col>
      <xdr:colOff>272902</xdr:colOff>
      <xdr:row>51</xdr:row>
      <xdr:rowOff>116416</xdr:rowOff>
    </xdr:to>
    <xdr:pic>
      <xdr:nvPicPr>
        <xdr:cNvPr id="20" name="Picture 19" descr="HIRE PURCHASE AGREEMENT SAMPLE 2.2 (EDITED 2).jp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stretch>
          <a:fillRect/>
        </a:stretch>
      </xdr:blipFill>
      <xdr:spPr>
        <a:xfrm>
          <a:off x="6328833" y="0"/>
          <a:ext cx="6548819" cy="8964083"/>
        </a:xfrm>
        <a:prstGeom prst="rect">
          <a:avLst/>
        </a:prstGeom>
      </xdr:spPr>
    </xdr:pic>
    <xdr:clientData/>
  </xdr:twoCellAnchor>
  <xdr:twoCellAnchor>
    <xdr:from>
      <xdr:col>1</xdr:col>
      <xdr:colOff>2105025</xdr:colOff>
      <xdr:row>0</xdr:row>
      <xdr:rowOff>19050</xdr:rowOff>
    </xdr:from>
    <xdr:to>
      <xdr:col>2</xdr:col>
      <xdr:colOff>361950</xdr:colOff>
      <xdr:row>1</xdr:row>
      <xdr:rowOff>533400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0</xdr:col>
      <xdr:colOff>2390775</xdr:colOff>
      <xdr:row>0</xdr:row>
      <xdr:rowOff>19050</xdr:rowOff>
    </xdr:from>
    <xdr:to>
      <xdr:col>1</xdr:col>
      <xdr:colOff>1133475</xdr:colOff>
      <xdr:row>1</xdr:row>
      <xdr:rowOff>295274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390775" y="19050"/>
          <a:ext cx="1990725"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2800" b="1" cap="none" spc="0">
              <a:ln w="6600">
                <a:solidFill>
                  <a:schemeClr val="accent2"/>
                </a:solidFill>
                <a:prstDash val="solid"/>
              </a:ln>
              <a:solidFill>
                <a:srgbClr val="FFFFFF"/>
              </a:solidFill>
              <a:effectLst>
                <a:outerShdw dist="38100" dir="2700000" algn="tl" rotWithShape="0">
                  <a:schemeClr val="accent2"/>
                </a:outerShdw>
              </a:effectLst>
            </a:rPr>
            <a:t>Specimen</a:t>
          </a:r>
        </a:p>
        <a:p>
          <a:endParaRPr lang="en-SG" sz="28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twoCellAnchor>
  <xdr:twoCellAnchor>
    <xdr:from>
      <xdr:col>27</xdr:col>
      <xdr:colOff>1744132</xdr:colOff>
      <xdr:row>12</xdr:row>
      <xdr:rowOff>140228</xdr:rowOff>
    </xdr:from>
    <xdr:to>
      <xdr:col>28</xdr:col>
      <xdr:colOff>124882</xdr:colOff>
      <xdr:row>14</xdr:row>
      <xdr:rowOff>61912</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9914465" y="2913061"/>
          <a:ext cx="338667" cy="23918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B2</a:t>
          </a:r>
        </a:p>
      </xdr:txBody>
    </xdr:sp>
    <xdr:clientData/>
  </xdr:twoCellAnchor>
  <xdr:twoCellAnchor>
    <xdr:from>
      <xdr:col>26</xdr:col>
      <xdr:colOff>660400</xdr:colOff>
      <xdr:row>18</xdr:row>
      <xdr:rowOff>124353</xdr:rowOff>
    </xdr:from>
    <xdr:to>
      <xdr:col>26</xdr:col>
      <xdr:colOff>993775</xdr:colOff>
      <xdr:row>20</xdr:row>
      <xdr:rowOff>58738</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968067" y="3839103"/>
          <a:ext cx="333375" cy="23071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B1</a:t>
          </a:r>
        </a:p>
      </xdr:txBody>
    </xdr:sp>
    <xdr:clientData/>
  </xdr:twoCellAnchor>
  <xdr:twoCellAnchor>
    <xdr:from>
      <xdr:col>28</xdr:col>
      <xdr:colOff>788459</xdr:colOff>
      <xdr:row>28</xdr:row>
      <xdr:rowOff>46565</xdr:rowOff>
    </xdr:from>
    <xdr:to>
      <xdr:col>29</xdr:col>
      <xdr:colOff>296334</xdr:colOff>
      <xdr:row>29</xdr:row>
      <xdr:rowOff>142875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0916709" y="5306482"/>
          <a:ext cx="333375" cy="24447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B8</a:t>
          </a:r>
        </a:p>
      </xdr:txBody>
    </xdr:sp>
    <xdr:clientData/>
  </xdr:twoCellAnchor>
  <xdr:twoCellAnchor>
    <xdr:from>
      <xdr:col>30</xdr:col>
      <xdr:colOff>282046</xdr:colOff>
      <xdr:row>32</xdr:row>
      <xdr:rowOff>125941</xdr:rowOff>
    </xdr:from>
    <xdr:to>
      <xdr:col>30</xdr:col>
      <xdr:colOff>691621</xdr:colOff>
      <xdr:row>34</xdr:row>
      <xdr:rowOff>31750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12061296" y="5999691"/>
          <a:ext cx="409575" cy="24447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B11</a:t>
          </a:r>
        </a:p>
      </xdr:txBody>
    </xdr:sp>
    <xdr:clientData/>
  </xdr:twoCellAnchor>
  <xdr:twoCellAnchor>
    <xdr:from>
      <xdr:col>30</xdr:col>
      <xdr:colOff>283104</xdr:colOff>
      <xdr:row>35</xdr:row>
      <xdr:rowOff>59266</xdr:rowOff>
    </xdr:from>
    <xdr:to>
      <xdr:col>30</xdr:col>
      <xdr:colOff>692679</xdr:colOff>
      <xdr:row>36</xdr:row>
      <xdr:rowOff>126470</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12062354" y="6430433"/>
          <a:ext cx="409575" cy="2259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B12</a:t>
          </a:r>
        </a:p>
      </xdr:txBody>
    </xdr:sp>
    <xdr:clientData/>
  </xdr:twoCellAnchor>
  <xdr:twoCellAnchor>
    <xdr:from>
      <xdr:col>26</xdr:col>
      <xdr:colOff>547162</xdr:colOff>
      <xdr:row>41</xdr:row>
      <xdr:rowOff>127000</xdr:rowOff>
    </xdr:from>
    <xdr:to>
      <xdr:col>26</xdr:col>
      <xdr:colOff>880537</xdr:colOff>
      <xdr:row>43</xdr:row>
      <xdr:rowOff>90488</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854829" y="7440083"/>
          <a:ext cx="333375" cy="25982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B4</a:t>
          </a:r>
        </a:p>
      </xdr:txBody>
    </xdr:sp>
    <xdr:clientData/>
  </xdr:twoCellAnchor>
  <xdr:twoCellAnchor>
    <xdr:from>
      <xdr:col>27</xdr:col>
      <xdr:colOff>358247</xdr:colOff>
      <xdr:row>43</xdr:row>
      <xdr:rowOff>103715</xdr:rowOff>
    </xdr:from>
    <xdr:to>
      <xdr:col>27</xdr:col>
      <xdr:colOff>691622</xdr:colOff>
      <xdr:row>45</xdr:row>
      <xdr:rowOff>67204</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28580" y="7713132"/>
          <a:ext cx="333375" cy="25982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B3</a:t>
          </a:r>
        </a:p>
      </xdr:txBody>
    </xdr:sp>
    <xdr:clientData/>
  </xdr:twoCellAnchor>
  <xdr:twoCellAnchor>
    <xdr:from>
      <xdr:col>28</xdr:col>
      <xdr:colOff>551920</xdr:colOff>
      <xdr:row>40</xdr:row>
      <xdr:rowOff>137582</xdr:rowOff>
    </xdr:from>
    <xdr:to>
      <xdr:col>29</xdr:col>
      <xdr:colOff>433916</xdr:colOff>
      <xdr:row>42</xdr:row>
      <xdr:rowOff>74083</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10680170" y="7302499"/>
          <a:ext cx="707496" cy="23283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B5</a:t>
          </a:r>
          <a:r>
            <a:rPr lang="en-SG" sz="1100" b="1" baseline="0">
              <a:solidFill>
                <a:schemeClr val="tx2">
                  <a:lumMod val="60000"/>
                  <a:lumOff val="40000"/>
                </a:schemeClr>
              </a:solidFill>
            </a:rPr>
            <a:t> B6 B7</a:t>
          </a:r>
          <a:endParaRPr lang="en-SG" sz="1100" b="1">
            <a:solidFill>
              <a:schemeClr val="tx2">
                <a:lumMod val="60000"/>
                <a:lumOff val="40000"/>
              </a:schemeClr>
            </a:solidFill>
          </a:endParaRPr>
        </a:p>
      </xdr:txBody>
    </xdr:sp>
    <xdr:clientData/>
  </xdr:twoCellAnchor>
  <xdr:twoCellAnchor>
    <xdr:from>
      <xdr:col>30</xdr:col>
      <xdr:colOff>310621</xdr:colOff>
      <xdr:row>29</xdr:row>
      <xdr:rowOff>135467</xdr:rowOff>
    </xdr:from>
    <xdr:to>
      <xdr:col>30</xdr:col>
      <xdr:colOff>643996</xdr:colOff>
      <xdr:row>31</xdr:row>
      <xdr:rowOff>86784</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2089871" y="5543550"/>
          <a:ext cx="333375" cy="25823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SG" sz="1100" b="1">
              <a:solidFill>
                <a:schemeClr val="tx2">
                  <a:lumMod val="60000"/>
                  <a:lumOff val="40000"/>
                </a:schemeClr>
              </a:solidFill>
            </a:rPr>
            <a:t>B9</a:t>
          </a:r>
        </a:p>
      </xdr:txBody>
    </xdr:sp>
    <xdr:clientData/>
  </xdr:twoCellAnchor>
  <xdr:twoCellAnchor>
    <xdr:from>
      <xdr:col>27</xdr:col>
      <xdr:colOff>1492250</xdr:colOff>
      <xdr:row>41</xdr:row>
      <xdr:rowOff>105833</xdr:rowOff>
    </xdr:from>
    <xdr:to>
      <xdr:col>28</xdr:col>
      <xdr:colOff>551920</xdr:colOff>
      <xdr:row>42</xdr:row>
      <xdr:rowOff>10583</xdr:rowOff>
    </xdr:to>
    <xdr:cxnSp macro="">
      <xdr:nvCxnSpPr>
        <xdr:cNvPr id="25" name="Straight Arrow Connector 24">
          <a:extLst>
            <a:ext uri="{FF2B5EF4-FFF2-40B4-BE49-F238E27FC236}">
              <a16:creationId xmlns:a16="http://schemas.microsoft.com/office/drawing/2014/main" id="{00000000-0008-0000-0100-000019000000}"/>
            </a:ext>
          </a:extLst>
        </xdr:cNvPr>
        <xdr:cNvCxnSpPr>
          <a:stCxn id="23" idx="1"/>
        </xdr:cNvCxnSpPr>
      </xdr:nvCxnSpPr>
      <xdr:spPr>
        <a:xfrm flipH="1">
          <a:off x="9662583" y="7418916"/>
          <a:ext cx="1017587" cy="52917"/>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880537</xdr:colOff>
      <xdr:row>42</xdr:row>
      <xdr:rowOff>0</xdr:rowOff>
    </xdr:from>
    <xdr:to>
      <xdr:col>26</xdr:col>
      <xdr:colOff>1185333</xdr:colOff>
      <xdr:row>42</xdr:row>
      <xdr:rowOff>108744</xdr:rowOff>
    </xdr:to>
    <xdr:cxnSp macro="">
      <xdr:nvCxnSpPr>
        <xdr:cNvPr id="27" name="Straight Arrow Connector 26">
          <a:extLst>
            <a:ext uri="{FF2B5EF4-FFF2-40B4-BE49-F238E27FC236}">
              <a16:creationId xmlns:a16="http://schemas.microsoft.com/office/drawing/2014/main" id="{00000000-0008-0000-0100-00001B000000}"/>
            </a:ext>
          </a:extLst>
        </xdr:cNvPr>
        <xdr:cNvCxnSpPr>
          <a:stCxn id="21" idx="3"/>
        </xdr:cNvCxnSpPr>
      </xdr:nvCxnSpPr>
      <xdr:spPr>
        <a:xfrm flipV="1">
          <a:off x="7188204" y="7461250"/>
          <a:ext cx="304796" cy="108744"/>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2105025</xdr:colOff>
      <xdr:row>0</xdr:row>
      <xdr:rowOff>19050</xdr:rowOff>
    </xdr:from>
    <xdr:to>
      <xdr:col>2</xdr:col>
      <xdr:colOff>361950</xdr:colOff>
      <xdr:row>1</xdr:row>
      <xdr:rowOff>533400</xdr:rowOff>
    </xdr:to>
    <xdr:pic>
      <xdr:nvPicPr>
        <xdr:cNvPr id="2059" name="Picture 1">
          <a:extLst>
            <a:ext uri="{FF2B5EF4-FFF2-40B4-BE49-F238E27FC236}">
              <a16:creationId xmlns:a16="http://schemas.microsoft.com/office/drawing/2014/main" id="{00000000-0008-0000-0200-00000B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9</xdr:col>
      <xdr:colOff>866775</xdr:colOff>
      <xdr:row>0</xdr:row>
      <xdr:rowOff>19050</xdr:rowOff>
    </xdr:from>
    <xdr:to>
      <xdr:col>9</xdr:col>
      <xdr:colOff>1800225</xdr:colOff>
      <xdr:row>1</xdr:row>
      <xdr:rowOff>533400</xdr:rowOff>
    </xdr:to>
    <xdr:pic>
      <xdr:nvPicPr>
        <xdr:cNvPr id="2060" name="Picture 1">
          <a:extLst>
            <a:ext uri="{FF2B5EF4-FFF2-40B4-BE49-F238E27FC236}">
              <a16:creationId xmlns:a16="http://schemas.microsoft.com/office/drawing/2014/main" id="{00000000-0008-0000-0200-00000C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96700" y="19050"/>
          <a:ext cx="933450" cy="752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2105025</xdr:colOff>
      <xdr:row>0</xdr:row>
      <xdr:rowOff>19050</xdr:rowOff>
    </xdr:from>
    <xdr:to>
      <xdr:col>2</xdr:col>
      <xdr:colOff>361950</xdr:colOff>
      <xdr:row>1</xdr:row>
      <xdr:rowOff>533400</xdr:rowOff>
    </xdr:to>
    <xdr:pic>
      <xdr:nvPicPr>
        <xdr:cNvPr id="3083" name="Picture 1">
          <a:extLst>
            <a:ext uri="{FF2B5EF4-FFF2-40B4-BE49-F238E27FC236}">
              <a16:creationId xmlns:a16="http://schemas.microsoft.com/office/drawing/2014/main" id="{00000000-0008-0000-0300-00000B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9</xdr:col>
      <xdr:colOff>866775</xdr:colOff>
      <xdr:row>0</xdr:row>
      <xdr:rowOff>19050</xdr:rowOff>
    </xdr:from>
    <xdr:to>
      <xdr:col>9</xdr:col>
      <xdr:colOff>1800225</xdr:colOff>
      <xdr:row>1</xdr:row>
      <xdr:rowOff>533400</xdr:rowOff>
    </xdr:to>
    <xdr:pic>
      <xdr:nvPicPr>
        <xdr:cNvPr id="3084" name="Picture 1">
          <a:extLst>
            <a:ext uri="{FF2B5EF4-FFF2-40B4-BE49-F238E27FC236}">
              <a16:creationId xmlns:a16="http://schemas.microsoft.com/office/drawing/2014/main" id="{00000000-0008-0000-0300-00000C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96700" y="19050"/>
          <a:ext cx="933450" cy="752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2105025</xdr:colOff>
      <xdr:row>0</xdr:row>
      <xdr:rowOff>19050</xdr:rowOff>
    </xdr:from>
    <xdr:to>
      <xdr:col>2</xdr:col>
      <xdr:colOff>361950</xdr:colOff>
      <xdr:row>1</xdr:row>
      <xdr:rowOff>533400</xdr:rowOff>
    </xdr:to>
    <xdr:pic>
      <xdr:nvPicPr>
        <xdr:cNvPr id="4107" name="Picture 1">
          <a:extLst>
            <a:ext uri="{FF2B5EF4-FFF2-40B4-BE49-F238E27FC236}">
              <a16:creationId xmlns:a16="http://schemas.microsoft.com/office/drawing/2014/main" id="{00000000-0008-0000-0400-00000B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9</xdr:col>
      <xdr:colOff>866775</xdr:colOff>
      <xdr:row>0</xdr:row>
      <xdr:rowOff>19050</xdr:rowOff>
    </xdr:from>
    <xdr:to>
      <xdr:col>9</xdr:col>
      <xdr:colOff>1800225</xdr:colOff>
      <xdr:row>1</xdr:row>
      <xdr:rowOff>533400</xdr:rowOff>
    </xdr:to>
    <xdr:pic>
      <xdr:nvPicPr>
        <xdr:cNvPr id="4108" name="Picture 1">
          <a:extLst>
            <a:ext uri="{FF2B5EF4-FFF2-40B4-BE49-F238E27FC236}">
              <a16:creationId xmlns:a16="http://schemas.microsoft.com/office/drawing/2014/main" id="{00000000-0008-0000-0400-00000C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96700" y="19050"/>
          <a:ext cx="933450" cy="752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2105025</xdr:colOff>
      <xdr:row>0</xdr:row>
      <xdr:rowOff>19050</xdr:rowOff>
    </xdr:from>
    <xdr:to>
      <xdr:col>2</xdr:col>
      <xdr:colOff>361950</xdr:colOff>
      <xdr:row>1</xdr:row>
      <xdr:rowOff>533400</xdr:rowOff>
    </xdr:to>
    <xdr:pic>
      <xdr:nvPicPr>
        <xdr:cNvPr id="5131" name="Picture 1">
          <a:extLst>
            <a:ext uri="{FF2B5EF4-FFF2-40B4-BE49-F238E27FC236}">
              <a16:creationId xmlns:a16="http://schemas.microsoft.com/office/drawing/2014/main" id="{00000000-0008-0000-0500-00000B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9</xdr:col>
      <xdr:colOff>866775</xdr:colOff>
      <xdr:row>0</xdr:row>
      <xdr:rowOff>19050</xdr:rowOff>
    </xdr:from>
    <xdr:to>
      <xdr:col>9</xdr:col>
      <xdr:colOff>1800225</xdr:colOff>
      <xdr:row>1</xdr:row>
      <xdr:rowOff>533400</xdr:rowOff>
    </xdr:to>
    <xdr:pic>
      <xdr:nvPicPr>
        <xdr:cNvPr id="5132" name="Picture 1">
          <a:extLst>
            <a:ext uri="{FF2B5EF4-FFF2-40B4-BE49-F238E27FC236}">
              <a16:creationId xmlns:a16="http://schemas.microsoft.com/office/drawing/2014/main" id="{00000000-0008-0000-0500-00000C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96700" y="19050"/>
          <a:ext cx="933450" cy="7524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2105025</xdr:colOff>
      <xdr:row>0</xdr:row>
      <xdr:rowOff>19050</xdr:rowOff>
    </xdr:from>
    <xdr:to>
      <xdr:col>2</xdr:col>
      <xdr:colOff>361950</xdr:colOff>
      <xdr:row>1</xdr:row>
      <xdr:rowOff>533400</xdr:rowOff>
    </xdr:to>
    <xdr:pic>
      <xdr:nvPicPr>
        <xdr:cNvPr id="6155" name="Picture 1">
          <a:extLst>
            <a:ext uri="{FF2B5EF4-FFF2-40B4-BE49-F238E27FC236}">
              <a16:creationId xmlns:a16="http://schemas.microsoft.com/office/drawing/2014/main" id="{00000000-0008-0000-0600-00000B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53050" y="19050"/>
          <a:ext cx="933450" cy="752475"/>
        </a:xfrm>
        <a:prstGeom prst="rect">
          <a:avLst/>
        </a:prstGeom>
        <a:noFill/>
        <a:ln w="9525">
          <a:noFill/>
          <a:miter lim="800000"/>
          <a:headEnd/>
          <a:tailEnd/>
        </a:ln>
      </xdr:spPr>
    </xdr:pic>
    <xdr:clientData/>
  </xdr:twoCellAnchor>
  <xdr:twoCellAnchor>
    <xdr:from>
      <xdr:col>9</xdr:col>
      <xdr:colOff>866775</xdr:colOff>
      <xdr:row>0</xdr:row>
      <xdr:rowOff>19050</xdr:rowOff>
    </xdr:from>
    <xdr:to>
      <xdr:col>9</xdr:col>
      <xdr:colOff>1800225</xdr:colOff>
      <xdr:row>1</xdr:row>
      <xdr:rowOff>533400</xdr:rowOff>
    </xdr:to>
    <xdr:pic>
      <xdr:nvPicPr>
        <xdr:cNvPr id="6156" name="Picture 1">
          <a:extLst>
            <a:ext uri="{FF2B5EF4-FFF2-40B4-BE49-F238E27FC236}">
              <a16:creationId xmlns:a16="http://schemas.microsoft.com/office/drawing/2014/main" id="{00000000-0008-0000-0600-00000C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96700" y="19050"/>
          <a:ext cx="933450"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47"/>
  <sheetViews>
    <sheetView tabSelected="1" workbookViewId="0">
      <selection activeCell="B19" sqref="B19"/>
    </sheetView>
  </sheetViews>
  <sheetFormatPr defaultColWidth="8.8984375" defaultRowHeight="13.2" x14ac:dyDescent="0.25"/>
  <cols>
    <col min="1" max="1" width="3.09765625" style="65" customWidth="1"/>
    <col min="2" max="2" width="9" style="64" customWidth="1"/>
    <col min="3" max="16384" width="8.8984375" style="64"/>
  </cols>
  <sheetData>
    <row r="1" spans="1:9" ht="15.75" customHeight="1" x14ac:dyDescent="0.25">
      <c r="A1" s="130" t="s">
        <v>67</v>
      </c>
      <c r="B1" s="130"/>
      <c r="C1" s="130"/>
      <c r="D1" s="130"/>
      <c r="E1" s="130"/>
      <c r="F1" s="130"/>
      <c r="G1" s="130"/>
      <c r="H1" s="130"/>
      <c r="I1" s="130"/>
    </row>
    <row r="2" spans="1:9" ht="22.5" customHeight="1" x14ac:dyDescent="0.25">
      <c r="A2" s="130"/>
      <c r="B2" s="130"/>
      <c r="C2" s="130"/>
      <c r="D2" s="130"/>
      <c r="E2" s="130"/>
      <c r="F2" s="130"/>
      <c r="G2" s="130"/>
      <c r="H2" s="130"/>
      <c r="I2" s="130"/>
    </row>
    <row r="3" spans="1:9" ht="42" customHeight="1" x14ac:dyDescent="0.25">
      <c r="A3" s="133" t="s">
        <v>75</v>
      </c>
      <c r="B3" s="133"/>
      <c r="C3" s="133"/>
      <c r="D3" s="133"/>
      <c r="E3" s="133"/>
      <c r="F3" s="133"/>
      <c r="G3" s="133"/>
      <c r="H3" s="133"/>
      <c r="I3" s="133"/>
    </row>
    <row r="4" spans="1:9" ht="12.75" customHeight="1" x14ac:dyDescent="0.25">
      <c r="A4" s="69">
        <v>1</v>
      </c>
      <c r="B4" s="131" t="s">
        <v>68</v>
      </c>
      <c r="C4" s="131"/>
      <c r="D4" s="131"/>
      <c r="E4" s="131"/>
      <c r="F4" s="131"/>
      <c r="G4" s="131"/>
      <c r="H4" s="131"/>
      <c r="I4" s="131"/>
    </row>
    <row r="5" spans="1:9" x14ac:dyDescent="0.25">
      <c r="B5" s="131"/>
      <c r="C5" s="131"/>
      <c r="D5" s="131"/>
      <c r="E5" s="131"/>
      <c r="F5" s="131"/>
      <c r="G5" s="131"/>
      <c r="H5" s="131"/>
      <c r="I5" s="131"/>
    </row>
    <row r="6" spans="1:9" x14ac:dyDescent="0.25">
      <c r="B6" s="131"/>
      <c r="C6" s="131"/>
      <c r="D6" s="131"/>
      <c r="E6" s="131"/>
      <c r="F6" s="131"/>
      <c r="G6" s="131"/>
      <c r="H6" s="131"/>
      <c r="I6" s="131"/>
    </row>
    <row r="7" spans="1:9" x14ac:dyDescent="0.25">
      <c r="B7" s="68"/>
      <c r="C7" s="68"/>
      <c r="D7" s="68"/>
      <c r="E7" s="68"/>
      <c r="F7" s="68"/>
      <c r="G7" s="68"/>
      <c r="H7" s="68"/>
      <c r="I7" s="68"/>
    </row>
    <row r="8" spans="1:9" ht="12.75" customHeight="1" x14ac:dyDescent="0.25">
      <c r="A8" s="65" t="s">
        <v>59</v>
      </c>
      <c r="B8" s="131" t="s">
        <v>69</v>
      </c>
      <c r="C8" s="131"/>
      <c r="D8" s="131"/>
      <c r="E8" s="131"/>
      <c r="F8" s="131"/>
      <c r="G8" s="131"/>
      <c r="H8" s="131"/>
      <c r="I8" s="131"/>
    </row>
    <row r="9" spans="1:9" x14ac:dyDescent="0.25">
      <c r="B9" s="131"/>
      <c r="C9" s="131"/>
      <c r="D9" s="131"/>
      <c r="E9" s="131"/>
      <c r="F9" s="131"/>
      <c r="G9" s="131"/>
      <c r="H9" s="131"/>
      <c r="I9" s="131"/>
    </row>
    <row r="10" spans="1:9" x14ac:dyDescent="0.25">
      <c r="B10" s="66"/>
      <c r="C10" s="66"/>
      <c r="D10" s="66"/>
      <c r="E10" s="66"/>
      <c r="F10" s="66"/>
      <c r="G10" s="66"/>
      <c r="H10" s="66"/>
      <c r="I10" s="66"/>
    </row>
    <row r="11" spans="1:9" x14ac:dyDescent="0.25">
      <c r="A11" s="69">
        <v>3</v>
      </c>
      <c r="B11" s="64" t="s">
        <v>76</v>
      </c>
    </row>
    <row r="13" spans="1:9" ht="12.75" customHeight="1" x14ac:dyDescent="0.25">
      <c r="A13" s="65" t="s">
        <v>60</v>
      </c>
      <c r="B13" s="129" t="s">
        <v>65</v>
      </c>
      <c r="C13" s="129"/>
      <c r="D13" s="129"/>
      <c r="E13" s="129"/>
      <c r="F13" s="129"/>
      <c r="G13" s="129"/>
      <c r="H13" s="129"/>
      <c r="I13" s="129"/>
    </row>
    <row r="14" spans="1:9" x14ac:dyDescent="0.25">
      <c r="B14" s="129"/>
      <c r="C14" s="129"/>
      <c r="D14" s="129"/>
      <c r="E14" s="129"/>
      <c r="F14" s="129"/>
      <c r="G14" s="129"/>
      <c r="H14" s="129"/>
      <c r="I14" s="129"/>
    </row>
    <row r="15" spans="1:9" x14ac:dyDescent="0.25">
      <c r="B15" s="129"/>
      <c r="C15" s="129"/>
      <c r="D15" s="129"/>
      <c r="E15" s="129"/>
      <c r="F15" s="129"/>
      <c r="G15" s="129"/>
      <c r="H15" s="129"/>
      <c r="I15" s="129"/>
    </row>
    <row r="16" spans="1:9" x14ac:dyDescent="0.25">
      <c r="B16" s="124"/>
      <c r="C16" s="124"/>
      <c r="D16" s="124"/>
      <c r="E16" s="124"/>
      <c r="F16" s="124"/>
      <c r="G16" s="124"/>
      <c r="H16" s="124"/>
      <c r="I16" s="124"/>
    </row>
    <row r="17" spans="1:9" ht="12.75" customHeight="1" x14ac:dyDescent="0.25">
      <c r="A17" s="65" t="s">
        <v>88</v>
      </c>
      <c r="B17" s="134" t="s">
        <v>87</v>
      </c>
      <c r="C17" s="134"/>
      <c r="D17" s="134"/>
      <c r="E17" s="134"/>
      <c r="F17" s="134"/>
      <c r="G17" s="134"/>
      <c r="H17" s="134"/>
      <c r="I17" s="134"/>
    </row>
    <row r="18" spans="1:9" x14ac:dyDescent="0.25">
      <c r="B18" s="134"/>
      <c r="C18" s="134"/>
      <c r="D18" s="134"/>
      <c r="E18" s="134"/>
      <c r="F18" s="134"/>
      <c r="G18" s="134"/>
      <c r="H18" s="134"/>
      <c r="I18" s="134"/>
    </row>
    <row r="20" spans="1:9" ht="12.75" customHeight="1" x14ac:dyDescent="0.25">
      <c r="A20" s="69">
        <v>6</v>
      </c>
      <c r="B20" s="67" t="s">
        <v>58</v>
      </c>
      <c r="C20" s="68"/>
      <c r="D20" s="68"/>
      <c r="E20" s="68"/>
      <c r="F20" s="68"/>
      <c r="G20" s="68"/>
      <c r="H20" s="68"/>
      <c r="I20" s="68"/>
    </row>
    <row r="21" spans="1:9" x14ac:dyDescent="0.25">
      <c r="B21" s="69" t="s">
        <v>56</v>
      </c>
      <c r="C21" s="68"/>
      <c r="D21" s="68"/>
      <c r="E21" s="68"/>
      <c r="F21" s="68"/>
      <c r="G21" s="68"/>
      <c r="H21" s="68"/>
      <c r="I21" s="68"/>
    </row>
    <row r="22" spans="1:9" x14ac:dyDescent="0.25">
      <c r="B22" s="131" t="s">
        <v>57</v>
      </c>
      <c r="C22" s="131"/>
      <c r="D22" s="131"/>
      <c r="E22" s="131"/>
      <c r="F22" s="131"/>
      <c r="G22" s="131"/>
      <c r="H22" s="131"/>
      <c r="I22" s="131"/>
    </row>
    <row r="23" spans="1:9" x14ac:dyDescent="0.25">
      <c r="B23" s="131"/>
      <c r="C23" s="131"/>
      <c r="D23" s="131"/>
      <c r="E23" s="131"/>
      <c r="F23" s="131"/>
      <c r="G23" s="131"/>
      <c r="H23" s="131"/>
      <c r="I23" s="131"/>
    </row>
    <row r="24" spans="1:9" x14ac:dyDescent="0.25">
      <c r="B24" s="66"/>
      <c r="C24" s="66"/>
      <c r="D24" s="66"/>
      <c r="E24" s="66"/>
      <c r="F24" s="66"/>
      <c r="G24" s="66"/>
      <c r="H24" s="66"/>
      <c r="I24" s="66"/>
    </row>
    <row r="25" spans="1:9" x14ac:dyDescent="0.25">
      <c r="A25" s="69">
        <v>7</v>
      </c>
      <c r="B25" s="132" t="s">
        <v>62</v>
      </c>
      <c r="C25" s="132"/>
      <c r="D25" s="132"/>
      <c r="E25" s="132"/>
      <c r="F25" s="132"/>
      <c r="G25" s="132"/>
      <c r="H25" s="132"/>
      <c r="I25" s="132"/>
    </row>
    <row r="26" spans="1:9" x14ac:dyDescent="0.25">
      <c r="B26" s="132"/>
      <c r="C26" s="132"/>
      <c r="D26" s="132"/>
      <c r="E26" s="132"/>
      <c r="F26" s="132"/>
      <c r="G26" s="132"/>
      <c r="H26" s="132"/>
      <c r="I26" s="132"/>
    </row>
    <row r="27" spans="1:9" x14ac:dyDescent="0.25">
      <c r="B27" s="112"/>
      <c r="C27" s="112"/>
      <c r="D27" s="112"/>
      <c r="E27" s="112"/>
      <c r="F27" s="112"/>
      <c r="G27" s="112"/>
      <c r="H27" s="112"/>
      <c r="I27" s="112"/>
    </row>
    <row r="28" spans="1:9" x14ac:dyDescent="0.25">
      <c r="A28" s="65" t="s">
        <v>61</v>
      </c>
      <c r="B28" s="131" t="s">
        <v>63</v>
      </c>
      <c r="C28" s="131"/>
      <c r="D28" s="131"/>
      <c r="E28" s="131"/>
      <c r="F28" s="131"/>
      <c r="G28" s="131"/>
      <c r="H28" s="131"/>
      <c r="I28" s="131"/>
    </row>
    <row r="29" spans="1:9" x14ac:dyDescent="0.25">
      <c r="B29" s="131"/>
      <c r="C29" s="131"/>
      <c r="D29" s="131"/>
      <c r="E29" s="131"/>
      <c r="F29" s="131"/>
      <c r="G29" s="131"/>
      <c r="H29" s="131"/>
      <c r="I29" s="131"/>
    </row>
    <row r="30" spans="1:9" ht="12.75" customHeight="1" x14ac:dyDescent="0.25">
      <c r="B30" s="131"/>
      <c r="C30" s="131"/>
      <c r="D30" s="131"/>
      <c r="E30" s="131"/>
      <c r="F30" s="131"/>
      <c r="G30" s="131"/>
      <c r="H30" s="131"/>
      <c r="I30" s="131"/>
    </row>
    <row r="31" spans="1:9" x14ac:dyDescent="0.25">
      <c r="B31" s="131"/>
      <c r="C31" s="131"/>
      <c r="D31" s="131"/>
      <c r="E31" s="131"/>
      <c r="F31" s="131"/>
      <c r="G31" s="131"/>
      <c r="H31" s="131"/>
      <c r="I31" s="131"/>
    </row>
    <row r="32" spans="1:9" ht="12.75" customHeight="1" x14ac:dyDescent="0.25">
      <c r="A32" s="65" t="s">
        <v>72</v>
      </c>
      <c r="B32" s="131" t="s">
        <v>64</v>
      </c>
      <c r="C32" s="131"/>
      <c r="D32" s="131"/>
      <c r="E32" s="131"/>
      <c r="F32" s="131"/>
      <c r="G32" s="131"/>
      <c r="H32" s="131"/>
      <c r="I32" s="131"/>
    </row>
    <row r="33" spans="1:9" x14ac:dyDescent="0.25">
      <c r="B33" s="131"/>
      <c r="C33" s="131"/>
      <c r="D33" s="131"/>
      <c r="E33" s="131"/>
      <c r="F33" s="131"/>
      <c r="G33" s="131"/>
      <c r="H33" s="131"/>
      <c r="I33" s="131"/>
    </row>
    <row r="34" spans="1:9" x14ac:dyDescent="0.25">
      <c r="B34" s="131"/>
      <c r="C34" s="131"/>
      <c r="D34" s="131"/>
      <c r="E34" s="131"/>
      <c r="F34" s="131"/>
      <c r="G34" s="131"/>
      <c r="H34" s="131"/>
      <c r="I34" s="131"/>
    </row>
    <row r="35" spans="1:9" x14ac:dyDescent="0.25">
      <c r="B35" s="131"/>
      <c r="C35" s="131"/>
      <c r="D35" s="131"/>
      <c r="E35" s="131"/>
      <c r="F35" s="131"/>
      <c r="G35" s="131"/>
      <c r="H35" s="131"/>
      <c r="I35" s="131"/>
    </row>
    <row r="36" spans="1:9" x14ac:dyDescent="0.25">
      <c r="B36" s="131"/>
      <c r="C36" s="131"/>
      <c r="D36" s="131"/>
      <c r="E36" s="131"/>
      <c r="F36" s="131"/>
      <c r="G36" s="131"/>
      <c r="H36" s="131"/>
      <c r="I36" s="131"/>
    </row>
    <row r="37" spans="1:9" x14ac:dyDescent="0.25">
      <c r="A37" s="65" t="s">
        <v>89</v>
      </c>
      <c r="B37" s="129" t="s">
        <v>84</v>
      </c>
      <c r="C37" s="129"/>
      <c r="D37" s="129"/>
      <c r="E37" s="129"/>
      <c r="F37" s="129"/>
      <c r="G37" s="129"/>
      <c r="H37" s="129"/>
      <c r="I37" s="129"/>
    </row>
    <row r="38" spans="1:9" x14ac:dyDescent="0.25">
      <c r="B38" s="129"/>
      <c r="C38" s="129"/>
      <c r="D38" s="129"/>
      <c r="E38" s="129"/>
      <c r="F38" s="129"/>
      <c r="G38" s="129"/>
      <c r="H38" s="129"/>
      <c r="I38" s="129"/>
    </row>
    <row r="40" spans="1:9" x14ac:dyDescent="0.25">
      <c r="A40" s="69">
        <v>11</v>
      </c>
      <c r="B40" s="67" t="s">
        <v>36</v>
      </c>
    </row>
    <row r="42" spans="1:9" x14ac:dyDescent="0.25">
      <c r="A42" s="64"/>
    </row>
    <row r="47" spans="1:9" x14ac:dyDescent="0.25">
      <c r="B47" s="68"/>
      <c r="C47" s="68"/>
      <c r="D47" s="68"/>
      <c r="E47" s="68"/>
      <c r="F47" s="68"/>
      <c r="G47" s="68"/>
      <c r="H47" s="68"/>
      <c r="I47" s="68"/>
    </row>
  </sheetData>
  <sheetProtection algorithmName="SHA-512" hashValue="YqVu3bGO0jkjzLqe9o5UBO4S7rzGzLNDnnz0hNWD8r3ly55IQ8CTa1kDq8I6GA86rrPzNzuGV/cUAMj4q/VaLw==" saltValue="rcIVsg8mSaOW5gWJEpL8HQ==" spinCount="100000" sheet="1" objects="1" scenarios="1" selectLockedCells="1"/>
  <mergeCells count="11">
    <mergeCell ref="B37:I38"/>
    <mergeCell ref="A1:I2"/>
    <mergeCell ref="B22:I23"/>
    <mergeCell ref="B25:I26"/>
    <mergeCell ref="B28:I31"/>
    <mergeCell ref="B32:I36"/>
    <mergeCell ref="B13:I15"/>
    <mergeCell ref="B4:I6"/>
    <mergeCell ref="B8:I9"/>
    <mergeCell ref="A3:I3"/>
    <mergeCell ref="B17: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2"/>
  <sheetViews>
    <sheetView showGridLines="0" zoomScale="90" zoomScaleNormal="90" workbookViewId="0">
      <selection activeCell="A24" sqref="A24"/>
    </sheetView>
  </sheetViews>
  <sheetFormatPr defaultColWidth="10.8984375" defaultRowHeight="13.2" x14ac:dyDescent="0.25"/>
  <cols>
    <col min="1" max="1" width="42.59765625" style="1" customWidth="1"/>
    <col min="2" max="2" width="35.09765625" style="1" customWidth="1"/>
    <col min="3" max="3" width="5" style="1" customWidth="1"/>
    <col min="4" max="12" width="10.8984375" style="1" hidden="1" customWidth="1"/>
    <col min="13" max="13" width="31.3984375" style="1" hidden="1" customWidth="1"/>
    <col min="14" max="26" width="10.8984375" style="1" hidden="1" customWidth="1"/>
    <col min="27" max="27" width="24.5" style="1" customWidth="1"/>
    <col min="28" max="28" width="25.59765625" style="1" customWidth="1"/>
    <col min="29" max="16384" width="10.8984375" style="1"/>
  </cols>
  <sheetData>
    <row r="1" spans="1:30" ht="18.75" customHeight="1" thickBot="1" x14ac:dyDescent="0.3">
      <c r="A1" s="139" t="s">
        <v>73</v>
      </c>
      <c r="B1" s="140"/>
      <c r="C1" s="141"/>
      <c r="AA1" s="135"/>
      <c r="AB1" s="135"/>
      <c r="AC1" s="135"/>
      <c r="AD1" s="135"/>
    </row>
    <row r="2" spans="1:30" ht="57" customHeight="1" thickBot="1" x14ac:dyDescent="0.3">
      <c r="A2" s="142"/>
      <c r="B2" s="143"/>
      <c r="C2" s="144"/>
      <c r="D2" s="145" t="s">
        <v>2</v>
      </c>
      <c r="E2" s="146"/>
      <c r="F2" s="146" t="s">
        <v>4</v>
      </c>
      <c r="G2" s="147"/>
      <c r="J2" s="148" t="s">
        <v>0</v>
      </c>
      <c r="K2" s="149"/>
      <c r="M2" s="16" t="s">
        <v>6</v>
      </c>
      <c r="N2" s="17">
        <f>IF(B14="Y",(B25-B32-MAX(B29-B26,0))/B20,(B27-B32-B29)/B20)</f>
        <v>1477.3194444444443</v>
      </c>
      <c r="AA2" s="136"/>
      <c r="AB2" s="136"/>
      <c r="AC2" s="136"/>
      <c r="AD2" s="136"/>
    </row>
    <row r="3" spans="1:30" ht="15" customHeight="1" x14ac:dyDescent="0.25">
      <c r="A3" s="150" t="s">
        <v>81</v>
      </c>
      <c r="B3" s="151"/>
      <c r="C3" s="152"/>
      <c r="D3" s="18">
        <v>1</v>
      </c>
      <c r="E3" s="19">
        <v>1</v>
      </c>
      <c r="F3" s="19">
        <v>1</v>
      </c>
      <c r="G3" s="20">
        <v>3</v>
      </c>
      <c r="J3" s="5">
        <v>1</v>
      </c>
      <c r="K3" s="21"/>
      <c r="M3" s="22" t="s">
        <v>16</v>
      </c>
      <c r="N3" s="23">
        <f>IF(B14="Y",B25-B32,B27-B32)</f>
        <v>59050</v>
      </c>
      <c r="AA3" s="113"/>
      <c r="AB3" s="113"/>
    </row>
    <row r="4" spans="1:30" ht="15" customHeight="1" thickBot="1" x14ac:dyDescent="0.3">
      <c r="A4" s="153"/>
      <c r="B4" s="154"/>
      <c r="C4" s="155"/>
      <c r="D4" s="18">
        <v>2</v>
      </c>
      <c r="E4" s="19">
        <v>1</v>
      </c>
      <c r="F4" s="19">
        <v>2</v>
      </c>
      <c r="G4" s="20">
        <v>2</v>
      </c>
      <c r="J4" s="5">
        <v>2</v>
      </c>
      <c r="K4" s="21" t="e">
        <f>#REF!+MIN(J3,$B$20/12)</f>
        <v>#REF!</v>
      </c>
      <c r="M4" s="24" t="s">
        <v>7</v>
      </c>
      <c r="N4" s="25">
        <f>IF(B14="Y",MAX(B29-B26,0),B29)</f>
        <v>5866.5</v>
      </c>
    </row>
    <row r="5" spans="1:30" ht="15" customHeight="1" x14ac:dyDescent="0.25">
      <c r="A5" s="153"/>
      <c r="B5" s="154"/>
      <c r="C5" s="155"/>
      <c r="D5" s="18">
        <v>3</v>
      </c>
      <c r="E5" s="19">
        <v>1</v>
      </c>
      <c r="F5" s="19">
        <v>3</v>
      </c>
      <c r="G5" s="20">
        <v>1</v>
      </c>
      <c r="J5" s="5">
        <v>3</v>
      </c>
      <c r="K5" s="21" t="e">
        <f>#REF!+MIN(J4,$B$20/12)</f>
        <v>#REF!</v>
      </c>
    </row>
    <row r="6" spans="1:30" ht="15" customHeight="1" thickBot="1" x14ac:dyDescent="0.3">
      <c r="A6" s="153"/>
      <c r="B6" s="154"/>
      <c r="C6" s="155"/>
      <c r="D6" s="18">
        <v>4</v>
      </c>
      <c r="E6" s="19">
        <v>2</v>
      </c>
      <c r="F6" s="19">
        <v>4</v>
      </c>
      <c r="G6" s="20">
        <v>3</v>
      </c>
      <c r="J6" s="5">
        <v>4</v>
      </c>
      <c r="K6" s="21" t="e">
        <f>#REF!+MIN(J5,$B$20/12)</f>
        <v>#REF!</v>
      </c>
      <c r="M6" s="1" t="s">
        <v>49</v>
      </c>
    </row>
    <row r="7" spans="1:30" ht="15" customHeight="1" x14ac:dyDescent="0.25">
      <c r="A7" s="153"/>
      <c r="B7" s="154"/>
      <c r="C7" s="155"/>
      <c r="D7" s="18">
        <v>5</v>
      </c>
      <c r="E7" s="19">
        <v>2</v>
      </c>
      <c r="F7" s="19">
        <v>5</v>
      </c>
      <c r="G7" s="20">
        <v>2</v>
      </c>
      <c r="J7" s="5">
        <v>5</v>
      </c>
      <c r="K7" s="21" t="e">
        <f>#REF!+MIN(J6,$B$20/12)</f>
        <v>#REF!</v>
      </c>
      <c r="M7" s="16" t="s">
        <v>3</v>
      </c>
      <c r="N7" s="26">
        <f>(YEAR($B$19)-YEAR(DATE(YEAR($B$19)-1,MONTH($B$13),DAY($B$13))))*12+MONTH($B$19)-MONTH(DATE(YEAR($B$19)-1,MONTH($B$13),DAY($B$13)))</f>
        <v>6</v>
      </c>
    </row>
    <row r="8" spans="1:30" ht="15" customHeight="1" x14ac:dyDescent="0.25">
      <c r="A8" s="153"/>
      <c r="B8" s="154"/>
      <c r="C8" s="155"/>
      <c r="D8" s="18">
        <v>6</v>
      </c>
      <c r="E8" s="19">
        <v>2</v>
      </c>
      <c r="F8" s="19">
        <v>6</v>
      </c>
      <c r="G8" s="20">
        <v>1</v>
      </c>
      <c r="J8" s="5">
        <v>6</v>
      </c>
      <c r="K8" s="21" t="e">
        <f>#REF!+MIN(J7,$B$20/12)</f>
        <v>#REF!</v>
      </c>
      <c r="M8" s="22" t="s">
        <v>2</v>
      </c>
      <c r="N8" s="21">
        <f>LOOKUP(N7,$D$3:$D$26,$E$3:$E$26)</f>
        <v>2</v>
      </c>
    </row>
    <row r="9" spans="1:30" ht="15" customHeight="1" thickBot="1" x14ac:dyDescent="0.3">
      <c r="A9" s="156"/>
      <c r="B9" s="157"/>
      <c r="C9" s="158"/>
      <c r="D9" s="18">
        <v>7</v>
      </c>
      <c r="E9" s="19">
        <v>3</v>
      </c>
      <c r="F9" s="19">
        <v>7</v>
      </c>
      <c r="G9" s="20">
        <v>3</v>
      </c>
      <c r="H9" s="30"/>
      <c r="I9" s="30"/>
      <c r="J9" s="5">
        <v>7</v>
      </c>
      <c r="K9" s="21" t="e">
        <f>#REF!+MIN(J8,$B$20/12)</f>
        <v>#REF!</v>
      </c>
      <c r="M9" s="28" t="s">
        <v>9</v>
      </c>
      <c r="N9" s="29">
        <f>DATE(YEAR($B$42),MONTH($B$13),DAY($B$13))</f>
        <v>41639</v>
      </c>
    </row>
    <row r="10" spans="1:30" ht="12.75" customHeight="1" thickBot="1" x14ac:dyDescent="0.3">
      <c r="A10" s="70" t="s">
        <v>40</v>
      </c>
      <c r="B10" s="71"/>
      <c r="C10" s="72"/>
      <c r="D10" s="18">
        <v>8</v>
      </c>
      <c r="E10" s="19">
        <v>3</v>
      </c>
      <c r="F10" s="19">
        <v>8</v>
      </c>
      <c r="G10" s="20">
        <v>2</v>
      </c>
      <c r="J10" s="5">
        <v>8</v>
      </c>
      <c r="K10" s="21" t="e">
        <f>#REF!+MIN(J9,$B$20/12)</f>
        <v>#REF!</v>
      </c>
      <c r="M10" s="54"/>
    </row>
    <row r="11" spans="1:30" ht="12.75" customHeight="1" thickBot="1" x14ac:dyDescent="0.3">
      <c r="A11" s="73" t="s">
        <v>12</v>
      </c>
      <c r="B11" s="117" t="s">
        <v>83</v>
      </c>
      <c r="C11" s="74"/>
      <c r="D11" s="18">
        <v>9</v>
      </c>
      <c r="E11" s="19">
        <v>3</v>
      </c>
      <c r="F11" s="19">
        <v>9</v>
      </c>
      <c r="G11" s="20">
        <v>1</v>
      </c>
      <c r="J11" s="5">
        <v>9</v>
      </c>
      <c r="K11" s="21" t="e">
        <f>#REF!+MIN(J10,$B$20/12)</f>
        <v>#REF!</v>
      </c>
      <c r="M11" s="1" t="s">
        <v>46</v>
      </c>
    </row>
    <row r="12" spans="1:30" ht="12.75" customHeight="1" x14ac:dyDescent="0.25">
      <c r="A12" s="73" t="s">
        <v>13</v>
      </c>
      <c r="B12" s="118" t="s">
        <v>85</v>
      </c>
      <c r="C12" s="74"/>
      <c r="D12" s="18">
        <v>10</v>
      </c>
      <c r="E12" s="19">
        <v>4</v>
      </c>
      <c r="F12" s="19">
        <v>10</v>
      </c>
      <c r="G12" s="20">
        <v>3</v>
      </c>
      <c r="H12" s="30"/>
      <c r="I12" s="30"/>
      <c r="J12" s="5">
        <v>10</v>
      </c>
      <c r="K12" s="21" t="e">
        <f>#REF!+MIN(J11,$B$20/12)</f>
        <v>#REF!</v>
      </c>
      <c r="M12" s="16" t="s">
        <v>3</v>
      </c>
      <c r="N12" s="26">
        <f>(YEAR($B$18)-YEAR(DATE(YEAR($B$18)-1,MONTH($B$13),DAY($B$13))))*12+MONTH($B$18)-MONTH(DATE(YEAR($B$18)-1,MONTH($B$13),DAY($B$13)))</f>
        <v>6</v>
      </c>
    </row>
    <row r="13" spans="1:30" ht="12.75" customHeight="1" x14ac:dyDescent="0.25">
      <c r="A13" s="73" t="s">
        <v>14</v>
      </c>
      <c r="B13" s="119">
        <v>41639</v>
      </c>
      <c r="C13" s="74"/>
      <c r="D13" s="18">
        <v>11</v>
      </c>
      <c r="E13" s="19">
        <v>4</v>
      </c>
      <c r="F13" s="19">
        <v>11</v>
      </c>
      <c r="G13" s="20">
        <v>2</v>
      </c>
      <c r="H13" s="30"/>
      <c r="I13" s="30"/>
      <c r="J13" s="5">
        <v>11</v>
      </c>
      <c r="K13" s="21" t="e">
        <f>#REF!+MIN(J12,$B$20/12)</f>
        <v>#REF!</v>
      </c>
      <c r="M13" s="22" t="s">
        <v>2</v>
      </c>
      <c r="N13" s="21">
        <f>LOOKUP(N12,$D$3:$D$26,$E$3:$E$26)</f>
        <v>2</v>
      </c>
    </row>
    <row r="14" spans="1:30" ht="12.75" customHeight="1" thickBot="1" x14ac:dyDescent="0.3">
      <c r="A14" s="73" t="s">
        <v>86</v>
      </c>
      <c r="B14" s="120" t="s">
        <v>71</v>
      </c>
      <c r="C14" s="74"/>
      <c r="D14" s="18">
        <v>12</v>
      </c>
      <c r="E14" s="19">
        <v>4</v>
      </c>
      <c r="F14" s="19">
        <v>12</v>
      </c>
      <c r="G14" s="20">
        <v>1</v>
      </c>
      <c r="J14" s="5">
        <v>12</v>
      </c>
      <c r="K14" s="21" t="e">
        <f>#REF!+MIN(J13,$B$20/12)</f>
        <v>#REF!</v>
      </c>
      <c r="M14" s="28" t="s">
        <v>9</v>
      </c>
      <c r="N14" s="29">
        <f>DATE(YEAR($B$42),MONTH($B$13),DAY($B$13))</f>
        <v>41639</v>
      </c>
    </row>
    <row r="15" spans="1:30" ht="12.75" customHeight="1" thickBot="1" x14ac:dyDescent="0.3">
      <c r="A15" s="73"/>
      <c r="B15" s="58"/>
      <c r="C15" s="74"/>
      <c r="D15" s="18">
        <v>13</v>
      </c>
      <c r="E15" s="19">
        <v>1</v>
      </c>
      <c r="F15" s="19">
        <v>13</v>
      </c>
      <c r="G15" s="20">
        <v>3</v>
      </c>
      <c r="J15" s="5">
        <v>13</v>
      </c>
      <c r="K15" s="21" t="e">
        <f>#REF!+MIN(J14,$B$20/12)</f>
        <v>#REF!</v>
      </c>
    </row>
    <row r="16" spans="1:30" ht="13.8" thickBot="1" x14ac:dyDescent="0.3">
      <c r="A16" s="70" t="s">
        <v>41</v>
      </c>
      <c r="B16" s="95"/>
      <c r="C16" s="72"/>
      <c r="D16" s="18">
        <v>14</v>
      </c>
      <c r="E16" s="19">
        <v>1</v>
      </c>
      <c r="F16" s="19">
        <v>14</v>
      </c>
      <c r="G16" s="20">
        <v>2</v>
      </c>
      <c r="J16" s="5">
        <v>14</v>
      </c>
      <c r="K16" s="21" t="e">
        <f>#REF!+MIN(J15,$B$20/12)</f>
        <v>#REF!</v>
      </c>
      <c r="M16" s="1" t="s">
        <v>49</v>
      </c>
    </row>
    <row r="17" spans="1:26" ht="12" customHeight="1" x14ac:dyDescent="0.25">
      <c r="A17" s="105" t="s">
        <v>27</v>
      </c>
      <c r="B17" s="117" t="s">
        <v>82</v>
      </c>
      <c r="C17" s="74"/>
      <c r="D17" s="18">
        <v>15</v>
      </c>
      <c r="E17" s="19">
        <v>1</v>
      </c>
      <c r="F17" s="19">
        <v>15</v>
      </c>
      <c r="G17" s="20">
        <v>1</v>
      </c>
      <c r="J17" s="5">
        <v>15</v>
      </c>
      <c r="K17" s="21" t="e">
        <f>#REF!+MIN(J16,$B$20/12)</f>
        <v>#REF!</v>
      </c>
      <c r="M17" s="104" t="s">
        <v>0</v>
      </c>
      <c r="N17" s="34">
        <f>IF(ISERROR(IF(B19&gt;N18,YEAR(N18)+2,YEAR(N18)+1)),"Please enter the correct relevant period",IF(B19&gt;N18,YEAR(N18)+2,YEAR(N18)+1))</f>
        <v>2014</v>
      </c>
    </row>
    <row r="18" spans="1:26" ht="12" customHeight="1" thickBot="1" x14ac:dyDescent="0.3">
      <c r="A18" s="105" t="s">
        <v>48</v>
      </c>
      <c r="B18" s="121">
        <v>41440</v>
      </c>
      <c r="C18" s="74"/>
      <c r="D18" s="18">
        <v>16</v>
      </c>
      <c r="E18" s="19">
        <v>2</v>
      </c>
      <c r="F18" s="19">
        <v>16</v>
      </c>
      <c r="G18" s="20">
        <v>3</v>
      </c>
      <c r="J18" s="5">
        <v>16</v>
      </c>
      <c r="K18" s="21" t="e">
        <f>#REF!+MIN(J17,$B$20/12)</f>
        <v>#REF!</v>
      </c>
      <c r="M18" s="28" t="s">
        <v>9</v>
      </c>
      <c r="N18" s="103">
        <f>DATE(YEAR($B$19),MONTH($B$13),DAY($B$13))</f>
        <v>41639</v>
      </c>
    </row>
    <row r="19" spans="1:26" ht="12" customHeight="1" x14ac:dyDescent="0.25">
      <c r="A19" s="105" t="s">
        <v>47</v>
      </c>
      <c r="B19" s="121">
        <v>41440</v>
      </c>
      <c r="C19" s="74"/>
      <c r="D19" s="18">
        <v>17</v>
      </c>
      <c r="E19" s="19">
        <v>2</v>
      </c>
      <c r="F19" s="19">
        <v>17</v>
      </c>
      <c r="G19" s="20">
        <v>2</v>
      </c>
      <c r="J19" s="5">
        <v>17</v>
      </c>
      <c r="K19" s="21" t="e">
        <f>#REF!+MIN(J18,$B$20/12)</f>
        <v>#REF!</v>
      </c>
    </row>
    <row r="20" spans="1:26" ht="12" customHeight="1" thickBot="1" x14ac:dyDescent="0.3">
      <c r="A20" s="105" t="s">
        <v>26</v>
      </c>
      <c r="B20" s="118">
        <v>36</v>
      </c>
      <c r="C20" s="74"/>
      <c r="D20" s="18">
        <v>18</v>
      </c>
      <c r="E20" s="19">
        <v>2</v>
      </c>
      <c r="F20" s="19">
        <v>18</v>
      </c>
      <c r="G20" s="20">
        <v>1</v>
      </c>
      <c r="J20" s="5">
        <v>18</v>
      </c>
      <c r="K20" s="21" t="e">
        <f>#REF!+MIN(J19,$B$20/12)</f>
        <v>#REF!</v>
      </c>
      <c r="M20" s="1" t="s">
        <v>50</v>
      </c>
    </row>
    <row r="21" spans="1:26" ht="12" customHeight="1" x14ac:dyDescent="0.25">
      <c r="A21" s="105" t="s">
        <v>30</v>
      </c>
      <c r="B21" s="122">
        <v>1600</v>
      </c>
      <c r="C21" s="74"/>
      <c r="D21" s="18">
        <v>19</v>
      </c>
      <c r="E21" s="19">
        <v>3</v>
      </c>
      <c r="F21" s="19">
        <v>19</v>
      </c>
      <c r="G21" s="20">
        <v>3</v>
      </c>
      <c r="J21" s="5">
        <v>19</v>
      </c>
      <c r="K21" s="21" t="e">
        <f>#REF!+MIN(J20,$B$20/12)</f>
        <v>#REF!</v>
      </c>
      <c r="M21" s="104" t="s">
        <v>0</v>
      </c>
      <c r="N21" s="34">
        <f>IF(ISERROR(IF(B18&gt;N22,YEAR(N22)+2,YEAR(N22)+1)),"Please enter the correct relevant period",IF(B18&gt;N22,YEAR(N22)+2,YEAR(N22)+1))</f>
        <v>2014</v>
      </c>
    </row>
    <row r="22" spans="1:26" ht="12" customHeight="1" thickBot="1" x14ac:dyDescent="0.3">
      <c r="A22" s="105" t="s">
        <v>28</v>
      </c>
      <c r="B22" s="122">
        <v>1600</v>
      </c>
      <c r="C22" s="74"/>
      <c r="D22" s="18">
        <v>20</v>
      </c>
      <c r="E22" s="19">
        <v>3</v>
      </c>
      <c r="F22" s="19">
        <v>20</v>
      </c>
      <c r="G22" s="20">
        <v>2</v>
      </c>
      <c r="J22" s="5">
        <v>20</v>
      </c>
      <c r="K22" s="21" t="e">
        <f>#REF!+MIN(J21,$B$20/12)</f>
        <v>#REF!</v>
      </c>
      <c r="M22" s="28" t="s">
        <v>9</v>
      </c>
      <c r="N22" s="103">
        <f>DATE(YEAR($B$18),MONTH($B$13),DAY($B$13))</f>
        <v>41639</v>
      </c>
    </row>
    <row r="23" spans="1:26" ht="12" customHeight="1" x14ac:dyDescent="0.25">
      <c r="A23" s="105" t="s">
        <v>29</v>
      </c>
      <c r="B23" s="122">
        <v>1600</v>
      </c>
      <c r="C23" s="74"/>
      <c r="D23" s="18">
        <v>21</v>
      </c>
      <c r="E23" s="19">
        <v>3</v>
      </c>
      <c r="F23" s="19">
        <v>21</v>
      </c>
      <c r="G23" s="20">
        <v>1</v>
      </c>
      <c r="J23" s="5">
        <v>21</v>
      </c>
      <c r="K23" s="21" t="e">
        <f>#REF!+MIN(J22,$B$20/12)</f>
        <v>#REF!</v>
      </c>
    </row>
    <row r="24" spans="1:26" ht="12" customHeight="1" thickBot="1" x14ac:dyDescent="0.3">
      <c r="A24" s="105"/>
      <c r="B24" s="58"/>
      <c r="C24" s="74"/>
      <c r="D24" s="18">
        <v>22</v>
      </c>
      <c r="E24" s="19">
        <v>4</v>
      </c>
      <c r="F24" s="19">
        <v>22</v>
      </c>
      <c r="G24" s="20">
        <v>3</v>
      </c>
      <c r="J24" s="5">
        <v>22</v>
      </c>
      <c r="K24" s="21" t="e">
        <f>#REF!+MIN(J23,$B$20/12)</f>
        <v>#REF!</v>
      </c>
      <c r="M24" s="31"/>
      <c r="O24" s="137" t="s">
        <v>10</v>
      </c>
      <c r="P24" s="137"/>
      <c r="Q24" s="137"/>
      <c r="R24" s="137"/>
    </row>
    <row r="25" spans="1:26" x14ac:dyDescent="0.25">
      <c r="A25" s="105" t="s">
        <v>25</v>
      </c>
      <c r="B25" s="123">
        <v>59050</v>
      </c>
      <c r="C25" s="74"/>
      <c r="D25" s="18">
        <v>23</v>
      </c>
      <c r="E25" s="19">
        <v>4</v>
      </c>
      <c r="F25" s="19">
        <v>23</v>
      </c>
      <c r="G25" s="20">
        <v>2</v>
      </c>
      <c r="J25" s="5">
        <v>23</v>
      </c>
      <c r="K25" s="21" t="e">
        <f>#REF!+MIN(J24,$B$20/12)</f>
        <v>#REF!</v>
      </c>
      <c r="M25" s="138" t="s">
        <v>2</v>
      </c>
      <c r="N25" s="32"/>
      <c r="O25" s="33">
        <v>2</v>
      </c>
      <c r="P25" s="33">
        <v>5</v>
      </c>
      <c r="Q25" s="33">
        <v>8</v>
      </c>
      <c r="R25" s="34">
        <v>11</v>
      </c>
    </row>
    <row r="26" spans="1:26" ht="13.8" thickBot="1" x14ac:dyDescent="0.3">
      <c r="A26" s="105" t="s">
        <v>31</v>
      </c>
      <c r="B26" s="122">
        <v>4133.5</v>
      </c>
      <c r="C26" s="74"/>
      <c r="D26" s="46">
        <v>24</v>
      </c>
      <c r="E26" s="47">
        <v>4</v>
      </c>
      <c r="F26" s="47">
        <v>24</v>
      </c>
      <c r="G26" s="48">
        <v>1</v>
      </c>
      <c r="J26" s="5">
        <v>24</v>
      </c>
      <c r="K26" s="21" t="e">
        <f>#REF!+MIN(J25,$B$20/12)</f>
        <v>#REF!</v>
      </c>
      <c r="M26" s="138"/>
      <c r="N26" s="5" t="str">
        <f>TEXT(MONTH(DATE(2013,MONTH(B13)+1,1)),0)</f>
        <v>1</v>
      </c>
      <c r="O26" s="35" t="e">
        <f>INDEX(#REF!,MATCH($B$45,#REF!,0),1)</f>
        <v>#REF!</v>
      </c>
      <c r="P26" s="35" t="e">
        <f>INDEX(#REF!,MATCH($B$45,#REF!,0),1)+INDEX(#REF!,MATCH($B$45,#REF!,0),2)</f>
        <v>#REF!</v>
      </c>
      <c r="Q26" s="35" t="e">
        <f>INDEX(#REF!,MATCH($B$45,#REF!,0),1)+INDEX(#REF!,MATCH($B$45,#REF!,0),2)+INDEX(#REF!,MATCH($B$45,#REF!,0),3)</f>
        <v>#REF!</v>
      </c>
      <c r="R26" s="36" t="e">
        <f>INDEX(#REF!,MATCH($B$45,#REF!,0),1)+INDEX(#REF!,MATCH($B$45,#REF!,0),2)+INDEX(#REF!,MATCH($B$45,#REF!,0),3)+INDEX(#REF!,MATCH($B$45,#REF!,0),4)</f>
        <v>#REF!</v>
      </c>
    </row>
    <row r="27" spans="1:26" ht="13.8" thickBot="1" x14ac:dyDescent="0.3">
      <c r="A27" s="73" t="s">
        <v>33</v>
      </c>
      <c r="B27" s="82">
        <f>SUM(B25:B26)</f>
        <v>63183.5</v>
      </c>
      <c r="C27" s="74"/>
      <c r="J27" s="5">
        <v>25</v>
      </c>
      <c r="K27" s="21" t="e">
        <f>#REF!+MIN(J26,$B$20/12)</f>
        <v>#REF!</v>
      </c>
      <c r="M27" s="138"/>
      <c r="N27" s="5" t="str">
        <f>TEXT(MONTH(DATE(2013,MONTH(B13)+4,1)),0)</f>
        <v>4</v>
      </c>
      <c r="O27" s="35" t="e">
        <f>INDEX(#REF!,MATCH($B$45,#REF!,0),2)</f>
        <v>#REF!</v>
      </c>
      <c r="P27" s="35" t="e">
        <f>INDEX(#REF!,MATCH($B$45,#REF!,0),2)+INDEX(#REF!,MATCH($B$45,#REF!,0),3)</f>
        <v>#REF!</v>
      </c>
      <c r="Q27" s="35" t="e">
        <f>INDEX(#REF!,MATCH($B$45,#REF!,0),2)+INDEX(#REF!,MATCH($B$45,#REF!,0),3)+INDEX(#REF!,MATCH($B$45,#REF!,0),4)</f>
        <v>#REF!</v>
      </c>
      <c r="R27" s="37" t="s">
        <v>8</v>
      </c>
    </row>
    <row r="28" spans="1:26" x14ac:dyDescent="0.25">
      <c r="A28" s="73"/>
      <c r="B28" s="58"/>
      <c r="C28" s="74"/>
      <c r="D28" s="16" t="s">
        <v>2</v>
      </c>
      <c r="E28" s="49">
        <v>1</v>
      </c>
      <c r="F28" s="49">
        <v>2</v>
      </c>
      <c r="G28" s="49">
        <v>3</v>
      </c>
      <c r="H28" s="26">
        <v>4</v>
      </c>
      <c r="I28" s="50"/>
      <c r="J28" s="5">
        <v>26</v>
      </c>
      <c r="K28" s="21" t="e">
        <f>#REF!+MIN(J27,$B$20/12)</f>
        <v>#REF!</v>
      </c>
      <c r="M28" s="138"/>
      <c r="N28" s="5" t="str">
        <f>TEXT(MONTH(DATE(2013,MONTH(B13)+7,1)),0)</f>
        <v>7</v>
      </c>
      <c r="O28" s="35" t="e">
        <f>INDEX(#REF!,MATCH($B$45,#REF!,0),3)</f>
        <v>#REF!</v>
      </c>
      <c r="P28" s="35" t="e">
        <f>INDEX(#REF!,MATCH($B$45,#REF!,0),3)+INDEX(#REF!,MATCH($B$45,#REF!,0),4)</f>
        <v>#REF!</v>
      </c>
      <c r="Q28" s="38" t="s">
        <v>8</v>
      </c>
      <c r="R28" s="37" t="s">
        <v>8</v>
      </c>
    </row>
    <row r="29" spans="1:26" ht="12" customHeight="1" thickBot="1" x14ac:dyDescent="0.3">
      <c r="A29" s="105" t="s">
        <v>32</v>
      </c>
      <c r="B29" s="123">
        <v>10000</v>
      </c>
      <c r="C29" s="74"/>
      <c r="D29" s="24" t="s">
        <v>5</v>
      </c>
      <c r="E29" s="51" t="str">
        <f>IF($N$8&lt;&gt;E28,"",LOOKUP($N$7,$F$3:$F$26,$G$3:$G$26))</f>
        <v/>
      </c>
      <c r="F29" s="51">
        <f>IF($N$8&lt;&gt;F28,"",LOOKUP($N$7,$F$3:$F$26,$G$3:$G$26))</f>
        <v>1</v>
      </c>
      <c r="G29" s="51" t="str">
        <f>IF($N$8&lt;&gt;G28,"",LOOKUP($N$7,$F$3:$F$26,$G$3:$G$26))</f>
        <v/>
      </c>
      <c r="H29" s="52" t="str">
        <f>IF($N$8&lt;&gt;H28,"",LOOKUP($N$7,$F$3:$F$26,$G$3:$G$26))</f>
        <v/>
      </c>
      <c r="I29" s="27"/>
      <c r="J29" s="5">
        <v>27</v>
      </c>
      <c r="K29" s="21" t="e">
        <f>#REF!+MIN(J28,$B$20/12)</f>
        <v>#REF!</v>
      </c>
      <c r="M29" s="138"/>
      <c r="N29" s="10" t="str">
        <f>TEXT(MONTH(DATE(2013,MONTH(B13)+10,1)),0)</f>
        <v>10</v>
      </c>
      <c r="O29" s="39" t="e">
        <f>INDEX(#REF!,MATCH($B$45,#REF!,0),4)</f>
        <v>#REF!</v>
      </c>
      <c r="P29" s="40" t="s">
        <v>8</v>
      </c>
      <c r="Q29" s="40" t="s">
        <v>8</v>
      </c>
      <c r="R29" s="41" t="s">
        <v>8</v>
      </c>
    </row>
    <row r="30" spans="1:26" ht="12" customHeight="1" thickBot="1" x14ac:dyDescent="0.3">
      <c r="A30" s="105" t="s">
        <v>18</v>
      </c>
      <c r="B30" s="122">
        <v>4416.5</v>
      </c>
      <c r="C30" s="74"/>
      <c r="J30" s="5">
        <v>28</v>
      </c>
      <c r="K30" s="21" t="e">
        <f>#REF!+MIN(J29,$B$20/12)</f>
        <v>#REF!</v>
      </c>
    </row>
    <row r="31" spans="1:26" x14ac:dyDescent="0.25">
      <c r="A31" s="73"/>
      <c r="B31" s="58"/>
      <c r="C31" s="74"/>
      <c r="J31" s="5">
        <v>29</v>
      </c>
      <c r="K31" s="21" t="e">
        <f>#REF!+MIN(J30,$B$20/12)</f>
        <v>#REF!</v>
      </c>
      <c r="N31" s="32"/>
      <c r="O31" s="42">
        <v>41305</v>
      </c>
      <c r="P31" s="42">
        <v>41333</v>
      </c>
      <c r="Q31" s="42">
        <v>41364</v>
      </c>
      <c r="R31" s="42">
        <v>41394</v>
      </c>
      <c r="S31" s="42">
        <v>41425</v>
      </c>
      <c r="T31" s="42">
        <v>41455</v>
      </c>
      <c r="U31" s="42">
        <v>41486</v>
      </c>
      <c r="V31" s="42">
        <v>41517</v>
      </c>
      <c r="W31" s="42">
        <v>41547</v>
      </c>
      <c r="X31" s="42">
        <v>41578</v>
      </c>
      <c r="Y31" s="42">
        <v>41608</v>
      </c>
      <c r="Z31" s="43">
        <v>41639</v>
      </c>
    </row>
    <row r="32" spans="1:26" x14ac:dyDescent="0.25">
      <c r="A32" s="128" t="s">
        <v>91</v>
      </c>
      <c r="B32" s="114">
        <v>0</v>
      </c>
      <c r="C32" s="74"/>
      <c r="J32" s="5">
        <v>30</v>
      </c>
      <c r="K32" s="21" t="e">
        <f>#REF!+MIN(J31,$B$20/12)</f>
        <v>#REF!</v>
      </c>
      <c r="N32" s="44">
        <v>1</v>
      </c>
      <c r="O32" s="38">
        <v>1</v>
      </c>
      <c r="P32" s="38">
        <v>1</v>
      </c>
      <c r="Q32" s="38">
        <v>1</v>
      </c>
      <c r="R32" s="38">
        <v>1</v>
      </c>
      <c r="S32" s="38">
        <v>1</v>
      </c>
      <c r="T32" s="38">
        <v>1</v>
      </c>
      <c r="U32" s="38">
        <v>1</v>
      </c>
      <c r="V32" s="38">
        <v>1</v>
      </c>
      <c r="W32" s="38">
        <v>1</v>
      </c>
      <c r="X32" s="38">
        <v>1</v>
      </c>
      <c r="Y32" s="38">
        <v>1</v>
      </c>
      <c r="Z32" s="37">
        <v>1</v>
      </c>
    </row>
    <row r="33" spans="1:26" ht="13.8" thickBot="1" x14ac:dyDescent="0.3">
      <c r="A33" s="73" t="s">
        <v>19</v>
      </c>
      <c r="B33" s="115">
        <v>0</v>
      </c>
      <c r="C33" s="74"/>
      <c r="J33" s="46">
        <v>31</v>
      </c>
      <c r="K33" s="48" t="e">
        <f>#REF!+MIN(J32,$B$20/12)</f>
        <v>#REF!</v>
      </c>
      <c r="N33" s="44">
        <v>2</v>
      </c>
      <c r="O33" s="38">
        <v>2</v>
      </c>
      <c r="P33" s="38">
        <v>1</v>
      </c>
      <c r="Q33" s="38">
        <v>1</v>
      </c>
      <c r="R33" s="38">
        <v>1</v>
      </c>
      <c r="S33" s="38">
        <v>1</v>
      </c>
      <c r="T33" s="38">
        <v>1</v>
      </c>
      <c r="U33" s="38">
        <v>1</v>
      </c>
      <c r="V33" s="38">
        <v>1</v>
      </c>
      <c r="W33" s="38">
        <v>1</v>
      </c>
      <c r="X33" s="38">
        <v>1</v>
      </c>
      <c r="Y33" s="38">
        <v>1</v>
      </c>
      <c r="Z33" s="37">
        <v>1</v>
      </c>
    </row>
    <row r="34" spans="1:26" ht="13.8" thickBot="1" x14ac:dyDescent="0.3">
      <c r="A34" s="73"/>
      <c r="B34" s="83"/>
      <c r="C34" s="74"/>
      <c r="N34" s="44">
        <v>3</v>
      </c>
      <c r="O34" s="38">
        <v>2</v>
      </c>
      <c r="P34" s="38">
        <v>2</v>
      </c>
      <c r="Q34" s="38">
        <v>1</v>
      </c>
      <c r="R34" s="38">
        <v>1</v>
      </c>
      <c r="S34" s="38">
        <v>1</v>
      </c>
      <c r="T34" s="38">
        <v>1</v>
      </c>
      <c r="U34" s="38">
        <v>1</v>
      </c>
      <c r="V34" s="38">
        <v>1</v>
      </c>
      <c r="W34" s="38">
        <v>1</v>
      </c>
      <c r="X34" s="38">
        <v>1</v>
      </c>
      <c r="Y34" s="38">
        <v>1</v>
      </c>
      <c r="Z34" s="37">
        <v>1</v>
      </c>
    </row>
    <row r="35" spans="1:26" x14ac:dyDescent="0.25">
      <c r="A35" s="73" t="s">
        <v>20</v>
      </c>
      <c r="B35" s="108">
        <f>IF(MIN(IF(B14="Y",B25-B32,B27-B32),100000-B33-B34)&lt;0,0,MIN(IF(B14="Y",B25-B32,B27-B32),100000-B33-B34))</f>
        <v>59050</v>
      </c>
      <c r="C35" s="74"/>
      <c r="J35" s="100" t="s">
        <v>11</v>
      </c>
      <c r="N35" s="44">
        <v>4</v>
      </c>
      <c r="O35" s="38">
        <v>2</v>
      </c>
      <c r="P35" s="38">
        <v>2</v>
      </c>
      <c r="Q35" s="38">
        <v>2</v>
      </c>
      <c r="R35" s="38">
        <v>1</v>
      </c>
      <c r="S35" s="38">
        <v>1</v>
      </c>
      <c r="T35" s="38">
        <v>1</v>
      </c>
      <c r="U35" s="38">
        <v>1</v>
      </c>
      <c r="V35" s="38">
        <v>1</v>
      </c>
      <c r="W35" s="38">
        <v>1</v>
      </c>
      <c r="X35" s="38">
        <v>1</v>
      </c>
      <c r="Y35" s="38">
        <v>1</v>
      </c>
      <c r="Z35" s="37">
        <v>1</v>
      </c>
    </row>
    <row r="36" spans="1:26" x14ac:dyDescent="0.25">
      <c r="A36" s="96"/>
      <c r="B36" s="83"/>
      <c r="C36" s="74"/>
      <c r="J36" s="101">
        <v>41305</v>
      </c>
      <c r="M36" s="45"/>
      <c r="N36" s="44">
        <v>5</v>
      </c>
      <c r="O36" s="38">
        <v>2</v>
      </c>
      <c r="P36" s="38">
        <v>2</v>
      </c>
      <c r="Q36" s="38">
        <v>2</v>
      </c>
      <c r="R36" s="38">
        <v>2</v>
      </c>
      <c r="S36" s="38">
        <v>1</v>
      </c>
      <c r="T36" s="38">
        <v>1</v>
      </c>
      <c r="U36" s="38">
        <v>1</v>
      </c>
      <c r="V36" s="38">
        <v>1</v>
      </c>
      <c r="W36" s="38">
        <v>1</v>
      </c>
      <c r="X36" s="38">
        <v>1</v>
      </c>
      <c r="Y36" s="38">
        <v>1</v>
      </c>
      <c r="Z36" s="37">
        <v>1</v>
      </c>
    </row>
    <row r="37" spans="1:26" ht="13.8" thickBot="1" x14ac:dyDescent="0.3">
      <c r="A37" s="73"/>
      <c r="B37" s="58"/>
      <c r="C37" s="74"/>
      <c r="J37" s="101">
        <v>41333</v>
      </c>
      <c r="N37" s="44">
        <v>6</v>
      </c>
      <c r="O37" s="38">
        <v>2</v>
      </c>
      <c r="P37" s="38">
        <v>2</v>
      </c>
      <c r="Q37" s="38">
        <v>2</v>
      </c>
      <c r="R37" s="38">
        <v>2</v>
      </c>
      <c r="S37" s="38">
        <v>2</v>
      </c>
      <c r="T37" s="38">
        <v>1</v>
      </c>
      <c r="U37" s="38">
        <v>1</v>
      </c>
      <c r="V37" s="38">
        <v>1</v>
      </c>
      <c r="W37" s="38">
        <v>1</v>
      </c>
      <c r="X37" s="38">
        <v>1</v>
      </c>
      <c r="Y37" s="38">
        <v>1</v>
      </c>
      <c r="Z37" s="37">
        <v>1</v>
      </c>
    </row>
    <row r="38" spans="1:26" ht="13.8" thickBot="1" x14ac:dyDescent="0.3">
      <c r="A38" s="70" t="s">
        <v>23</v>
      </c>
      <c r="B38" s="95"/>
      <c r="C38" s="72"/>
      <c r="J38" s="101">
        <v>41364</v>
      </c>
      <c r="N38" s="44">
        <v>7</v>
      </c>
      <c r="O38" s="38">
        <v>2</v>
      </c>
      <c r="P38" s="38">
        <v>2</v>
      </c>
      <c r="Q38" s="38">
        <v>2</v>
      </c>
      <c r="R38" s="38">
        <v>2</v>
      </c>
      <c r="S38" s="38">
        <v>2</v>
      </c>
      <c r="T38" s="38">
        <v>2</v>
      </c>
      <c r="U38" s="38">
        <v>1</v>
      </c>
      <c r="V38" s="38">
        <v>1</v>
      </c>
      <c r="W38" s="38">
        <v>1</v>
      </c>
      <c r="X38" s="38">
        <v>1</v>
      </c>
      <c r="Y38" s="38">
        <v>1</v>
      </c>
      <c r="Z38" s="37">
        <v>1</v>
      </c>
    </row>
    <row r="39" spans="1:26" ht="12" customHeight="1" x14ac:dyDescent="0.25">
      <c r="A39" s="84"/>
      <c r="B39" s="58"/>
      <c r="C39" s="74"/>
      <c r="J39" s="101">
        <v>41394</v>
      </c>
      <c r="N39" s="44">
        <v>8</v>
      </c>
      <c r="O39" s="38">
        <v>2</v>
      </c>
      <c r="P39" s="38">
        <v>2</v>
      </c>
      <c r="Q39" s="38">
        <v>2</v>
      </c>
      <c r="R39" s="38">
        <v>2</v>
      </c>
      <c r="S39" s="38">
        <v>2</v>
      </c>
      <c r="T39" s="38">
        <v>2</v>
      </c>
      <c r="U39" s="38">
        <v>2</v>
      </c>
      <c r="V39" s="38">
        <v>1</v>
      </c>
      <c r="W39" s="38">
        <v>1</v>
      </c>
      <c r="X39" s="38">
        <v>1</v>
      </c>
      <c r="Y39" s="38">
        <v>1</v>
      </c>
      <c r="Z39" s="37">
        <v>1</v>
      </c>
    </row>
    <row r="40" spans="1:26" ht="12" customHeight="1" x14ac:dyDescent="0.25">
      <c r="A40" s="73" t="s">
        <v>17</v>
      </c>
      <c r="B40" s="58"/>
      <c r="C40" s="74"/>
      <c r="J40" s="101">
        <v>41425</v>
      </c>
      <c r="N40" s="44">
        <v>9</v>
      </c>
      <c r="O40" s="38">
        <v>2</v>
      </c>
      <c r="P40" s="38">
        <v>2</v>
      </c>
      <c r="Q40" s="38">
        <v>2</v>
      </c>
      <c r="R40" s="38">
        <v>2</v>
      </c>
      <c r="S40" s="38">
        <v>2</v>
      </c>
      <c r="T40" s="38">
        <v>2</v>
      </c>
      <c r="U40" s="38">
        <v>2</v>
      </c>
      <c r="V40" s="38">
        <v>2</v>
      </c>
      <c r="W40" s="38">
        <v>1</v>
      </c>
      <c r="X40" s="38">
        <v>1</v>
      </c>
      <c r="Y40" s="38">
        <v>1</v>
      </c>
      <c r="Z40" s="37">
        <v>1</v>
      </c>
    </row>
    <row r="41" spans="1:26" ht="12" customHeight="1" x14ac:dyDescent="0.25">
      <c r="A41" s="88"/>
      <c r="B41" s="58"/>
      <c r="C41" s="74"/>
      <c r="J41" s="101">
        <v>41455</v>
      </c>
      <c r="N41" s="44">
        <v>10</v>
      </c>
      <c r="O41" s="38">
        <v>2</v>
      </c>
      <c r="P41" s="38">
        <v>2</v>
      </c>
      <c r="Q41" s="38">
        <v>2</v>
      </c>
      <c r="R41" s="38">
        <v>2</v>
      </c>
      <c r="S41" s="38">
        <v>2</v>
      </c>
      <c r="T41" s="38">
        <v>2</v>
      </c>
      <c r="U41" s="38">
        <v>2</v>
      </c>
      <c r="V41" s="38">
        <v>2</v>
      </c>
      <c r="W41" s="38">
        <v>2</v>
      </c>
      <c r="X41" s="38">
        <v>1</v>
      </c>
      <c r="Y41" s="38">
        <v>1</v>
      </c>
      <c r="Z41" s="37">
        <v>1</v>
      </c>
    </row>
    <row r="42" spans="1:26" ht="12" customHeight="1" x14ac:dyDescent="0.25">
      <c r="A42" s="73" t="s">
        <v>21</v>
      </c>
      <c r="B42" s="121">
        <v>41275</v>
      </c>
      <c r="C42" s="74"/>
      <c r="J42" s="101">
        <v>41486</v>
      </c>
      <c r="N42" s="44">
        <v>11</v>
      </c>
      <c r="O42" s="38">
        <v>2</v>
      </c>
      <c r="P42" s="38">
        <v>2</v>
      </c>
      <c r="Q42" s="38">
        <v>2</v>
      </c>
      <c r="R42" s="38">
        <v>2</v>
      </c>
      <c r="S42" s="38">
        <v>2</v>
      </c>
      <c r="T42" s="38">
        <v>2</v>
      </c>
      <c r="U42" s="38">
        <v>2</v>
      </c>
      <c r="V42" s="38">
        <v>2</v>
      </c>
      <c r="W42" s="38">
        <v>2</v>
      </c>
      <c r="X42" s="38">
        <v>2</v>
      </c>
      <c r="Y42" s="38">
        <v>1</v>
      </c>
      <c r="Z42" s="37">
        <v>1</v>
      </c>
    </row>
    <row r="43" spans="1:26" ht="12" customHeight="1" thickBot="1" x14ac:dyDescent="0.3">
      <c r="A43" s="73" t="s">
        <v>22</v>
      </c>
      <c r="B43" s="121">
        <v>41639</v>
      </c>
      <c r="C43" s="74"/>
      <c r="J43" s="101">
        <v>41517</v>
      </c>
      <c r="N43" s="53">
        <v>12</v>
      </c>
      <c r="O43" s="40">
        <v>2</v>
      </c>
      <c r="P43" s="40">
        <v>2</v>
      </c>
      <c r="Q43" s="40">
        <v>2</v>
      </c>
      <c r="R43" s="40">
        <v>2</v>
      </c>
      <c r="S43" s="40">
        <v>2</v>
      </c>
      <c r="T43" s="40">
        <v>2</v>
      </c>
      <c r="U43" s="40">
        <v>2</v>
      </c>
      <c r="V43" s="40">
        <v>2</v>
      </c>
      <c r="W43" s="40">
        <v>2</v>
      </c>
      <c r="X43" s="40">
        <v>2</v>
      </c>
      <c r="Y43" s="40">
        <v>2</v>
      </c>
      <c r="Z43" s="41">
        <v>1</v>
      </c>
    </row>
    <row r="44" spans="1:26" ht="12" customHeight="1" x14ac:dyDescent="0.25">
      <c r="A44" s="73"/>
      <c r="B44" s="85"/>
      <c r="C44" s="74"/>
      <c r="J44" s="101">
        <v>41547</v>
      </c>
    </row>
    <row r="45" spans="1:26" ht="12" customHeight="1" x14ac:dyDescent="0.25">
      <c r="A45" s="86" t="s">
        <v>34</v>
      </c>
      <c r="B45" s="87">
        <f>IF(IF(ISERROR(IF(B42&gt;N9,YEAR(N9)+2,YEAR(N9)+1)),”Please enter the correct relevant period”, IF(B42&gt;N9,YEAR(N9)+2,YEAR(N9)+1))=1901,"",IF(ISERROR(IF(B42&gt;N9,YEAR(N9)+2,YEAR(N9)+1)), "Please enter the correct relevant period", IF(B42&gt;N9,YEAR(N9)+2,YEAR(N9)+1)))</f>
        <v>2014</v>
      </c>
      <c r="C45" s="74"/>
      <c r="J45" s="101">
        <v>41578</v>
      </c>
    </row>
    <row r="46" spans="1:26" ht="12" customHeight="1" thickBot="1" x14ac:dyDescent="0.3">
      <c r="A46" s="88"/>
      <c r="B46" s="87"/>
      <c r="C46" s="74"/>
      <c r="J46" s="101">
        <v>41608</v>
      </c>
    </row>
    <row r="47" spans="1:26" ht="12" customHeight="1" thickBot="1" x14ac:dyDescent="0.3">
      <c r="A47" s="88" t="s">
        <v>35</v>
      </c>
      <c r="B47" s="89">
        <v>16208</v>
      </c>
      <c r="C47" s="74"/>
      <c r="J47" s="102">
        <v>41639</v>
      </c>
    </row>
    <row r="48" spans="1:26" ht="12" customHeight="1" x14ac:dyDescent="0.25">
      <c r="A48" s="73"/>
      <c r="B48" s="58" t="s">
        <v>24</v>
      </c>
      <c r="C48" s="74"/>
      <c r="J48" s="56"/>
    </row>
    <row r="49" spans="1:10" ht="12" customHeight="1" thickBot="1" x14ac:dyDescent="0.3">
      <c r="A49" s="90"/>
      <c r="B49" s="98"/>
      <c r="C49" s="91"/>
    </row>
    <row r="51" spans="1:10" ht="13.8" x14ac:dyDescent="0.25">
      <c r="A51" s="116" t="s">
        <v>74</v>
      </c>
      <c r="J51" s="56"/>
    </row>
    <row r="52" spans="1:10" x14ac:dyDescent="0.25">
      <c r="B52" s="64"/>
      <c r="C52" s="64"/>
      <c r="D52" s="64"/>
    </row>
  </sheetData>
  <sheetProtection algorithmName="SHA-512" hashValue="k1eCXUYqSG8jtQf8D40cmgrdhPoSd5mAlrAD8acXd/VsvfCQwTwodSFunCCqZyBgV9oTffP3rsmu89zo4dKNgA==" saltValue="k1dmcw1ALDr6GBpaj5CMHA==" spinCount="100000" sheet="1" objects="1" scenarios="1" selectLockedCells="1"/>
  <mergeCells count="9">
    <mergeCell ref="AA1:AD1"/>
    <mergeCell ref="AA2:AD2"/>
    <mergeCell ref="O24:R24"/>
    <mergeCell ref="M25:M29"/>
    <mergeCell ref="A1:C2"/>
    <mergeCell ref="D2:E2"/>
    <mergeCell ref="F2:G2"/>
    <mergeCell ref="J2:K2"/>
    <mergeCell ref="A3:C9"/>
  </mergeCells>
  <dataValidations count="7">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100-000000000000}"/>
    <dataValidation type="date" allowBlank="1" showInputMessage="1" showErrorMessage="1" errorTitle="Error" error="Please enter a valid date in the format dd/mm/yyyy." promptTitle="Note" prompt="Enter the relevant period as per your PIC Cash Payout application" sqref="B42:B44" xr:uid="{00000000-0002-0000-0100-000001000000}">
      <formula1>40575</formula1>
      <formula2>42369</formula2>
    </dataValidation>
    <dataValidation allowBlank="1" showInputMessage="1" showErrorMessage="1" promptTitle="Note" prompt="Enter non-qualifying costs included in the cash purchase price (B8). Click on the link to IRAS website for more information." sqref="B32" xr:uid="{00000000-0002-0000-0100-000002000000}"/>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100-000003000000}"/>
    <dataValidation type="list" allowBlank="1" showInputMessage="1" showErrorMessage="1" errorTitle="Error" error="Please choose the accounting year end from the dropdown box." sqref="B13" xr:uid="{00000000-0002-0000-0100-000004000000}">
      <formula1>$J$36:$J$47</formula1>
    </dataValidation>
    <dataValidation type="date" allowBlank="1" showInputMessage="1" showErrorMessage="1" errorTitle="Error" error="Please enter a valid date in the format dd/mm/yyyy." sqref="B18:B19" xr:uid="{00000000-0002-0000-0100-000005000000}">
      <formula1>40575</formula1>
      <formula2>42369</formula2>
    </dataValidation>
    <dataValidation type="list" allowBlank="1" showErrorMessage="1" errorTitle="Wrong Input" error="Please select from the drop down list." sqref="B14" xr:uid="{00000000-0002-0000-0100-000006000000}">
      <formula1>"Y,N"</formula1>
    </dataValidation>
  </dataValidations>
  <pageMargins left="0.74803149606299213" right="0.74803149606299213" top="0.98425196850393704" bottom="0.98425196850393704" header="0.51181102362204722" footer="0.5118110236220472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H51"/>
  <sheetViews>
    <sheetView showGridLines="0" workbookViewId="0">
      <selection activeCell="B11" sqref="B11"/>
    </sheetView>
  </sheetViews>
  <sheetFormatPr defaultColWidth="10.8984375" defaultRowHeight="13.2" x14ac:dyDescent="0.25"/>
  <cols>
    <col min="1" max="1" width="42.59765625" style="1" customWidth="1"/>
    <col min="2" max="2" width="35.09765625" style="1" customWidth="1"/>
    <col min="3" max="4" width="5" style="1" customWidth="1"/>
    <col min="5" max="7" width="10.8984375" style="1"/>
    <col min="8" max="8" width="10.8984375" style="1" customWidth="1"/>
    <col min="9" max="9" width="10.8984375" style="1"/>
    <col min="10" max="10" width="23.8984375" style="1" customWidth="1"/>
    <col min="11" max="11" width="10.8984375" style="1" customWidth="1"/>
    <col min="12" max="20" width="10.8984375" style="1" hidden="1" customWidth="1"/>
    <col min="21" max="21" width="31.3984375" style="1" hidden="1" customWidth="1"/>
    <col min="22" max="34" width="10.8984375" style="1" hidden="1" customWidth="1"/>
    <col min="35" max="16384" width="10.8984375" style="1"/>
  </cols>
  <sheetData>
    <row r="1" spans="1:24" ht="18.75" customHeight="1" thickBot="1" x14ac:dyDescent="0.3">
      <c r="A1" s="139" t="s">
        <v>67</v>
      </c>
      <c r="B1" s="140"/>
      <c r="C1" s="141"/>
      <c r="D1" s="54"/>
      <c r="E1" s="139" t="s">
        <v>70</v>
      </c>
      <c r="F1" s="166"/>
      <c r="G1" s="166"/>
      <c r="H1" s="166"/>
      <c r="I1" s="166"/>
      <c r="J1" s="167"/>
    </row>
    <row r="2" spans="1:24" ht="43.5" customHeight="1" thickBot="1" x14ac:dyDescent="0.3">
      <c r="A2" s="142"/>
      <c r="B2" s="143"/>
      <c r="C2" s="144"/>
      <c r="D2" s="54"/>
      <c r="E2" s="168"/>
      <c r="F2" s="169"/>
      <c r="G2" s="169"/>
      <c r="H2" s="169"/>
      <c r="I2" s="169"/>
      <c r="J2" s="170"/>
      <c r="L2" s="145" t="s">
        <v>2</v>
      </c>
      <c r="M2" s="146"/>
      <c r="N2" s="146" t="s">
        <v>4</v>
      </c>
      <c r="O2" s="147"/>
      <c r="R2" s="148" t="s">
        <v>0</v>
      </c>
      <c r="S2" s="149"/>
      <c r="U2" s="16" t="s">
        <v>6</v>
      </c>
      <c r="V2" s="17" t="e">
        <f>IF(B14="Y",(B25-B32-MAX(B29-B26,0))/B20,(B27-B32-B29)/B20)</f>
        <v>#DIV/0!</v>
      </c>
    </row>
    <row r="3" spans="1:24" ht="15" customHeight="1" thickBot="1" x14ac:dyDescent="0.3">
      <c r="A3" s="150" t="s">
        <v>81</v>
      </c>
      <c r="B3" s="151"/>
      <c r="C3" s="152"/>
      <c r="E3" s="55" t="s">
        <v>51</v>
      </c>
      <c r="J3" s="8"/>
      <c r="L3" s="18">
        <v>1</v>
      </c>
      <c r="M3" s="19">
        <v>1</v>
      </c>
      <c r="N3" s="19">
        <v>1</v>
      </c>
      <c r="O3" s="20">
        <v>3</v>
      </c>
      <c r="R3" s="5">
        <v>1</v>
      </c>
      <c r="S3" s="21"/>
      <c r="U3" s="22" t="s">
        <v>16</v>
      </c>
      <c r="V3" s="23">
        <f>IF(B14="Y",B25-B32,B27-B32)</f>
        <v>0</v>
      </c>
    </row>
    <row r="4" spans="1:24" ht="15" customHeight="1" thickBot="1" x14ac:dyDescent="0.3">
      <c r="A4" s="153"/>
      <c r="B4" s="154"/>
      <c r="C4" s="155"/>
      <c r="E4" s="162" t="s">
        <v>0</v>
      </c>
      <c r="F4" s="161" t="s">
        <v>2</v>
      </c>
      <c r="G4" s="161"/>
      <c r="H4" s="161"/>
      <c r="I4" s="161"/>
      <c r="J4" s="164" t="s">
        <v>15</v>
      </c>
      <c r="L4" s="18">
        <v>2</v>
      </c>
      <c r="M4" s="19">
        <v>1</v>
      </c>
      <c r="N4" s="19">
        <v>2</v>
      </c>
      <c r="O4" s="20">
        <v>2</v>
      </c>
      <c r="R4" s="5">
        <v>2</v>
      </c>
      <c r="S4" s="21" t="e">
        <f t="shared" ref="S4:S33" si="0">$E$6+MIN(R3,$B$20/12)</f>
        <v>#VALUE!</v>
      </c>
      <c r="U4" s="24" t="s">
        <v>7</v>
      </c>
      <c r="V4" s="25">
        <f>IF(B14="Y",MAX(B29-B26,0),B29)</f>
        <v>0</v>
      </c>
      <c r="X4" s="127"/>
    </row>
    <row r="5" spans="1:24" ht="15" customHeight="1" thickBot="1" x14ac:dyDescent="0.3">
      <c r="A5" s="153"/>
      <c r="B5" s="154"/>
      <c r="C5" s="155"/>
      <c r="E5" s="163"/>
      <c r="F5" s="99">
        <v>1</v>
      </c>
      <c r="G5" s="99">
        <v>2</v>
      </c>
      <c r="H5" s="99">
        <v>3</v>
      </c>
      <c r="I5" s="99">
        <v>4</v>
      </c>
      <c r="J5" s="165"/>
      <c r="L5" s="18">
        <v>3</v>
      </c>
      <c r="M5" s="19">
        <v>1</v>
      </c>
      <c r="N5" s="19">
        <v>3</v>
      </c>
      <c r="O5" s="20">
        <v>1</v>
      </c>
      <c r="R5" s="5">
        <v>3</v>
      </c>
      <c r="S5" s="21" t="e">
        <f t="shared" si="0"/>
        <v>#VALUE!</v>
      </c>
    </row>
    <row r="6" spans="1:24" ht="15" customHeight="1" thickBot="1" x14ac:dyDescent="0.3">
      <c r="A6" s="153"/>
      <c r="B6" s="154"/>
      <c r="C6" s="155"/>
      <c r="E6" s="2"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3" t="str">
        <f>IF(IF(ISERROR(ROUND(MIN(IF(AND($V$21=$E$6,$V$13=F5),$V$4,0)+IF(AND($V$17=$E$6,$V$8=F5),$V$2*M29,0),$B$35),0)),"",ROUND(MIN(IF(AND($V$21=$E$6,$V$13=F5),$V$4,0)+IF(AND($V$17=$E$6,$V$8=F5),$V$2*M29,0),$B$35),0))&gt;0, IF(ISERROR(ROUND(MIN(IF(AND($V$21=$E$6,$V$13=F5),$V$4,0)+IF(AND($V$17=$E$6,$V$8=F5),$V$2*M29,0),$B$35),0)),"",ROUND(MIN(IF(AND($V$21=$E$6,$V$13=F5),$V$4,0)+IF(AND($V$17=$E$6,$V$8=F5),$V$2*M29,0),$B$35),0)),0)</f>
        <v/>
      </c>
      <c r="G6" s="3" t="str">
        <f>IF(IF(ISERROR(ROUND(MIN(IF(AND($V$21=$E$6,$V$13=G5),$V$4,0)+IF(ISERROR(IF(AND($V$17=$E$6,$V$8=G5),$V$2*N29,0)),0,IF(AND($V$17=$E$6,$V$8=G5),$V$2*N29,0))+IF(AND($V$8&lt;G5,$V$17=$E$6),$V$2*3,0),$B$35-SUM($F$6:F6)),0)),"",ROUND(MIN(IF(AND($V$21=$E$6,$V$13=G5),$V$4,0)+IF(ISERROR(IF(AND($V$17=$E$6,$V$8=G5),$V$2*N29,0)),0,IF(AND($V$17=$E$6,$V$8=G5),$V$2*N29,0))+IF(AND($V$8&lt;G5,$V$17=$E$6),$V$2*3,0),$B$35-SUM($F$6:F6)),0))&gt;0,IF(ISERROR(ROUND(MIN(IF(AND($V$21=$E$6,$V$13=G5),$V$4,0)+IF(ISERROR(IF(AND($V$17=$E$6,$V$8=G5),$V$2*N29,0)),0,IF(AND($V$17=$E$6,$V$8=G5),$V$2*N29,0))+IF(AND($V$8&lt;G5,$V$17=$E$6),$V$2*3,0),$B$35-SUM($F$6:F6)),0)),"",ROUND(MIN(IF(AND($V$21=$E$6,$V$13=G5),$V$4,0)+IF(ISERROR(IF(AND($V$17=$E$6,$V$8=G5),$V$2*N29,0)),0,IF(AND($V$17=$E$6,$V$8=G5),$V$2*N29,0))+IF(AND($V$8&lt;G5,$V$17=$E$6),$V$2*3,0),$B$35-SUM($F$6:F6)),0)),0)</f>
        <v/>
      </c>
      <c r="H6" s="3" t="str">
        <f>IF(IF(ISERROR(ROUND(MIN(IF(AND($V$21=$E$6,$V$13=H5),$V$4,0)+IF(ISERROR(IF(AND($V$17=$E$6,$V$8=H5),$V$2*O29,0)),0,IF(AND($V$17=$E$6,$V$8=H5),$V$2*O29,0))+IF(AND($V$8&lt;H5,$V$17=$E$6),$V$2*3,0),$B$35-SUM($F$6:G6)),0)),"",ROUND(MIN(IF(AND($V$21=$E$6,$V$13=H5),$V$4,0)+IF(ISERROR(IF(AND($V$17=$E$6,$V$8=H5),$V$2*O29,0)),0,IF(AND($V$17=$E$6,$V$8=H5),$V$2*O29,0))+IF(AND($V$8&lt;H5,$V$17=$E$6),$V$2*3,0),$B$35-SUM($F$6:G6)),0))&gt;0, IF(ISERROR(ROUND(MIN(IF(AND($V$21=$E$6,$V$13=H5),$V$4,0)+IF(ISERROR(IF(AND($V$17=$E$6,$V$8=H5),$V$2*O29,0)),0,IF(AND($V$17=$E$6,$V$8=H5),$V$2*O29,0))+IF(AND($V$8&lt;H5,$V$17=$E$6),$V$2*3,0),$B$35-SUM($F$6:G6)),0)),"",ROUND(MIN(IF(AND($V$21=$E$6,$V$13=H5),$V$4,0)+IF(ISERROR(IF(AND($V$17=$E$6,$V$8=H5),$V$2*O29,0)),0,IF(AND($V$17=$E$6,$V$8=H5),$V$2*O29,0))+IF(AND($V$8&lt;H5,$V$17=$E$6),$V$2*3,0),$B$35-SUM($F$6:G6)),0)), 0)</f>
        <v/>
      </c>
      <c r="I6" s="3" t="str">
        <f>IF(IF(ISERROR(ROUND(MIN(IF(AND($V$21=$E$6,$V$13=I5),$V$4,0)+IF(ISERROR(IF(AND($V$17=$E$6,$V$8=I5),$V$2*P29,0)),0,IF(AND($V$17=$E$6,$V$8=I5),$V$2*P29,0))+IF(AND($V$8&lt;I5,$V$17=$E$6),$V$2*3,0),$B$35-SUM($F$6:H6)),0)),"",ROUND(MIN(IF(AND($V$21=$E$6,$V$13=I5),$V$4,0)+IF(ISERROR(IF(AND($V$17=$E$6,$V$8=I5),$V$2*P29,0)),0,IF(AND($V$17=$E$6,$V$8=I5),$V$2*P29,0))+IF(AND($V$8&lt;I5,$V$17=$E$6),$V$2*3,0),$B$35-SUM($F$6:H6)),0))&gt;0, IF(ISERROR(ROUND(MIN(IF(AND($V$21=$E$6,$V$13=I5),$V$4,0)+IF(ISERROR(IF(AND($V$17=$E$6,$V$8=I5),$V$2*P29,0)),0,IF(AND($V$17=$E$6,$V$8=I5),$V$2*P29,0))+IF(AND($V$8&lt;I5,$V$17=$E$6),$V$2*3,0),$B$35-SUM($F$6:H6)),0)),"",ROUND(MIN(IF(AND($V$21=$E$6,$V$13=I5),$V$4,0)+IF(ISERROR(IF(AND($V$17=$E$6,$V$8=I5),$V$2*P29,0)),0,IF(AND($V$17=$E$6,$V$8=I5),$V$2*P29,0))+IF(AND($V$8&lt;I5,$V$17=$E$6),$V$2*3,0),$B$35-SUM($F$6:H6)),0)),0)</f>
        <v/>
      </c>
      <c r="J6" s="4">
        <f>SUM(F6:I6)</f>
        <v>0</v>
      </c>
      <c r="L6" s="18">
        <v>4</v>
      </c>
      <c r="M6" s="19">
        <v>2</v>
      </c>
      <c r="N6" s="19">
        <v>4</v>
      </c>
      <c r="O6" s="20">
        <v>3</v>
      </c>
      <c r="R6" s="5">
        <v>4</v>
      </c>
      <c r="S6" s="21" t="e">
        <f t="shared" si="0"/>
        <v>#VALUE!</v>
      </c>
      <c r="U6" s="1" t="s">
        <v>49</v>
      </c>
    </row>
    <row r="7" spans="1:24" ht="15" customHeight="1" x14ac:dyDescent="0.25">
      <c r="A7" s="153"/>
      <c r="B7" s="154"/>
      <c r="C7" s="155"/>
      <c r="E7" s="5" t="str">
        <f>IF(ISERROR(IF(AND(F7="",F7=0,G7="",G7=0,H7="",H7=0,I7="",I7=0),"",IF($V$17=$V$21,E6+1,IF($V$21&gt;$V$17,$V$17+1,$V$17)))),"",IF(AND(F7="",F7=0,G7="",G7=0,H7="",H7=0,I7="",I7=0),"",IF($V$17=$V$21,E6+1,IF($V$21&gt;$V$17,$V$17+1,$V$17))))</f>
        <v/>
      </c>
      <c r="F7" s="6" t="str">
        <f>IF(IF(ISERROR(IF(ROUND(MIN(IF($V$17&lt;&gt;$E$6,IF($V$8=F5,$V$2*M29,0),$V$2*3),$B$35-SUM($J$6:$J6)),0)&lt;0,0,ROUND(MIN(IF($V$17&lt;&gt;$E$6,IF($V$8=F5,$V$2*M29,0),$V$2*3),$B$35-SUM($J$6:$J6)),0))),"",IF(ROUND(MIN(IF($V$17&lt;&gt;$E$6,IF($V$8=F5,$V$2*M29,0),$V$2*3),$B$35-SUM($J$6:$J6)),0)&lt;0,0,ROUND(MIN(IF($V$17&lt;&gt;$E$6,IF($V$8=F5,$V$2*M29,0),$V$2*3),$B$35-SUM($J$6:$J6)),0)))&gt;0, IF(ISERROR(IF(ROUND(MIN(IF($V$17&lt;&gt;$E$6,IF($V$8=F5,$V$2*M29,0),$V$2*3),$B$35-SUM($J$6:$J6)),0)&lt;0,0,ROUND(MIN(IF($V$17&lt;&gt;$E$6,IF($V$8=F5,$V$2*M29,0),$V$2*3),$B$35-SUM($J$6:$J6)),0))),"",IF(ROUND(MIN(IF($V$17&lt;&gt;$E$6,IF($V$8=F5,$V$2*M29,0),$V$2*3),$B$35-SUM($J$6:$J6)),0)&lt;0,0,ROUND(MIN(IF($V$17&lt;&gt;$E$6,IF($V$8=F5,$V$2*M29,0),$V$2*3),$B$35-SUM($J$6:$J6)),0))),0)</f>
        <v/>
      </c>
      <c r="G7" s="6" t="str">
        <f>IF(IF(ISERROR(IF(ROUND(MIN(IF($V$17&lt;&gt;$E$6,IF($V$8=F5,$V$2*M29,0),$V$2*3),$B$35-SUM($J$6:$J6)),0)&lt;0,0,ROUND(MIN(IF($V$17&lt;&gt;$E$6,IF($V$8=G5,$V$2*N29,0)+IF($V$8&lt;G5,$V$2*3,0),$V$2*3),$B$35-SUM($J$6:$J6)-SUM($F$7:F7)),0))),"",IF(ROUND(MIN(IF($V$17&lt;&gt;$E$6,IF($V$8=F5,$V$2*M29,0),$V$2*3),$B$35-SUM($J$6:$J6)),0)&lt;0,0,ROUND(MIN(IF($V$17&lt;&gt;$E$6,IF($V$8=G5,$V$2*N29,0)+IF($V$8&lt;G5,$V$2*3,0),$V$2*3),$B$35-SUM($J$6:$J6)-SUM($F$7:F7)),0)))&gt;0, IF(ISERROR(IF(ROUND(MIN(IF($V$17&lt;&gt;$E$6,IF($V$8=F5,$V$2*M29,0),$V$2*3),$B$35-SUM($J$6:$J6)),0)&lt;0,0,ROUND(MIN(IF($V$17&lt;&gt;$E$6,IF($V$8=G5,$V$2*N29,0)+IF($V$8&lt;G5,$V$2*3,0),$V$2*3),$B$35-SUM($J$6:$J6)-SUM($F$7:F7)),0))),"",IF(ROUND(MIN(IF($V$17&lt;&gt;$E$6,IF($V$8=F5,$V$2*M29,0),$V$2*3),$B$35-SUM($J$6:$J6)),0)&lt;0,0,ROUND(MIN(IF($V$17&lt;&gt;$E$6,IF($V$8=G5,$V$2*N29,0)+IF($V$8&lt;G5,$V$2*3,0),$V$2*3),$B$35-SUM($J$6:$J6)-SUM($F$7:F7)),0))), 0)</f>
        <v/>
      </c>
      <c r="H7" s="6" t="str">
        <f>IF(IF(ISERROR(IF(ROUND(MIN(IF($V$17&lt;&gt;$E$6,IF($V$8=F5,$V$2*M29,0),$V$2*3),$B$35-SUM($J$6:$J6)),0)&lt;0,0,ROUND(MIN(IF($V$17&lt;&gt;$E$6,IF($V$8=H5,$V$2*O29,0)+IF($V$8&lt;H5,$V$2*3,0),$V$2*3),$B$35-SUM($J$6:$J6)-SUM($F$7:G7)),0))),"",IF(ROUND(MIN(IF($V$17&lt;&gt;$E$6,IF($V$8=F5,$V$2*M29,0),$V$2*3),$B$35-SUM($J$6:$J6)),0)&lt;0,0,ROUND(MIN(IF($V$17&lt;&gt;$E$6,IF($V$8=H5,$V$2*O29,0)+IF($V$8&lt;H5,$V$2*3,0),$V$2*3),$B$35-SUM($J$6:$J6)-SUM($F$7:G7)),0)))&gt;0, IF(ISERROR(IF(ROUND(MIN(IF($V$17&lt;&gt;$E$6,IF($V$8=F5,$V$2*M29,0),$V$2*3),$B$35-SUM($J$6:$J6)),0)&lt;0,0,ROUND(MIN(IF($V$17&lt;&gt;$E$6,IF($V$8=H5,$V$2*O29,0)+IF($V$8&lt;H5,$V$2*3,0),$V$2*3),$B$35-SUM($J$6:$J6)-SUM($F$7:G7)),0))),"",IF(ROUND(MIN(IF($V$17&lt;&gt;$E$6,IF($V$8=F5,$V$2*M29,0),$V$2*3),$B$35-SUM($J$6:$J6)),0)&lt;0,0,ROUND(MIN(IF($V$17&lt;&gt;$E$6,IF($V$8=H5,$V$2*O29,0)+IF($V$8&lt;H5,$V$2*3,0),$V$2*3),$B$35-SUM($J$6:$J6)-SUM($F$7:G7)),0))),0)</f>
        <v/>
      </c>
      <c r="I7" s="6" t="str">
        <f>IF(IF(ISERROR(IF(ROUND(MIN(IF($V$17&lt;&gt;$E$6,IF($V$8=F5,$V$2*M29,0),$V$2*3),$B$35-SUM($J$6:$J6)),0)&lt;0,0,ROUND(MIN(IF($V$17&lt;&gt;$E$6,IF($V$8=I5,$V$2*P29,0)+IF($V$8&lt;I5,$V$2*3,0),$V$2*3),$B$35-SUM($J$6:$J6)-SUM($F$7:H7)),0))),"",IF(ROUND(MIN(IF($V$17&lt;&gt;$E$6,IF($V$8=F5,$V$2*M29,0),$V$2*3),$B$35-SUM($J$6:$J6)),0)&lt;0,0,ROUND(MIN(IF($V$17&lt;&gt;$E$6,IF($V$8=I5,$V$2*P29,0)+IF($V$8&lt;I5,$V$2*3,0),$V$2*3),$B$35-SUM($J$6:$J6)-SUM($F$7:H7)),0)))&gt;0,IF(ISERROR(IF(ROUND(MIN(IF($V$17&lt;&gt;$E$6,IF($V$8=F5,$V$2*M29,0),$V$2*3),$B$35-SUM($J$6:$J6)),0)&lt;0,0,ROUND(MIN(IF($V$17&lt;&gt;$E$6,IF($V$8=I5,$V$2*P29,0)+IF($V$8&lt;I5,$V$2*3,0),$V$2*3),$B$35-SUM($J$6:$J6)-SUM($F$7:H7)),0))),"",IF(ROUND(MIN(IF($V$17&lt;&gt;$E$6,IF($V$8=F5,$V$2*M29,0),$V$2*3),$B$35-SUM($J$6:$J6)),0)&lt;0,0,ROUND(MIN(IF($V$17&lt;&gt;$E$6,IF($V$8=I5,$V$2*P29,0)+IF($V$8&lt;I5,$V$2*3,0),$V$2*3),$B$35-SUM($J$6:$J6)-SUM($F$7:H7)),0))),0)</f>
        <v/>
      </c>
      <c r="J7" s="7" t="str">
        <f>IF(E7="","",SUM(F7:I7))</f>
        <v/>
      </c>
      <c r="L7" s="18">
        <v>5</v>
      </c>
      <c r="M7" s="19">
        <v>2</v>
      </c>
      <c r="N7" s="19">
        <v>5</v>
      </c>
      <c r="O7" s="20">
        <v>2</v>
      </c>
      <c r="R7" s="5">
        <v>5</v>
      </c>
      <c r="S7" s="21" t="e">
        <f t="shared" si="0"/>
        <v>#VALUE!</v>
      </c>
      <c r="U7" s="16" t="s">
        <v>3</v>
      </c>
      <c r="V7" s="26">
        <f>(YEAR($B$19)-YEAR(DATE(YEAR($B$19)-1,MONTH($B$13),DAY($B$13))))*12+MONTH($B$19)-MONTH(DATE(YEAR($B$19)-1,MONTH($B$13),DAY($B$13)))</f>
        <v>-22787</v>
      </c>
    </row>
    <row r="8" spans="1:24" ht="15" customHeight="1" x14ac:dyDescent="0.25">
      <c r="A8" s="153"/>
      <c r="B8" s="154"/>
      <c r="C8" s="155"/>
      <c r="E8" s="5" t="str">
        <f>IF(OR(F8="",F8=0),"",E7+1)</f>
        <v/>
      </c>
      <c r="F8" s="6" t="str">
        <f>IF(IF(OR(I7="",I7=0),"",IF(ROUND(MIN($V$2*3,$B$35-SUM($J$6:$J7)),0)&lt;0,0,ROUND(MIN($V$2*3,$B$35-SUM($J$6:$J7)),0)))&gt;0, IF(OR(I7="",I7=0),"",IF(ROUND(MIN($V$2*3,$B$35-SUM($J$6:$J7)),0)&lt;0,0,ROUND(MIN($V$2*3,$B$35-SUM($J$6:$J7)),0))),0)</f>
        <v/>
      </c>
      <c r="G8" s="6" t="str">
        <f>IF(IF(OR(F8="",F8=0),"",IF(ROUND(MIN($V$2*3,$B$35-SUM($J$6:$J7)-SUM($F8:F8)),0)&lt;0,0,ROUND(MIN($V$2*3,$B$35-SUM($J$6:$J7)-SUM($F8:F8)),0)))&gt;0,IF(OR(F8="",F8=0),"",IF(ROUND(MIN($V$2*3,$B$35-SUM($J$6:$J7)-SUM($F8:F8)),0)&lt;0,0,ROUND(MIN($V$2*3,$B$35-SUM($J$6:$J7)-SUM($F8:F8)),0))),0)</f>
        <v/>
      </c>
      <c r="H8" s="6" t="str">
        <f>IF(IF(OR(G8="",G8=0),"",IF(ROUND(MIN($V$2*3,$B$35-SUM($J$6:$J7)-SUM($F8:G8)),0)&lt;0,0,ROUND(MIN($V$2*3,$B$35-SUM($J$6:$J7)-SUM($F8:G8)),0)))&gt;0,IF(OR(G8="",G8=0),"",IF(ROUND(MIN($V$2*3,$B$35-SUM($J$6:$J7)-SUM($F8:G8)),0)&lt;0,0,ROUND(MIN($V$2*3,$B$35-SUM($J$6:$J7)-SUM($F8:G8)),0))),0)</f>
        <v/>
      </c>
      <c r="I8" s="6" t="str">
        <f>IF(IF(OR(H8="",H8=0),"",IF(ROUND(MIN($V$2*3,$B$35-SUM($J$6:$J7)-SUM($F8:H8)),0)&lt;0,0,ROUND(MIN($V$2*3,$B$35-SUM($J$6:$J7)-SUM($F8:H8)),0)))&gt;0,IF(OR(H8="",H8=0),"",IF(ROUND(MIN($V$2*3,$B$35-SUM($J$6:$J7)-SUM($F8:H8)),0)&lt;0,0,ROUND(MIN($V$2*3,$B$35-SUM($J$6:$J7)-SUM($F8:H8)),0))),0)</f>
        <v/>
      </c>
      <c r="J8" s="7" t="str">
        <f t="shared" ref="J8:J35" si="1">IF(E8="","",SUM(F8:I8))</f>
        <v/>
      </c>
      <c r="L8" s="18">
        <v>6</v>
      </c>
      <c r="M8" s="19">
        <v>2</v>
      </c>
      <c r="N8" s="19">
        <v>6</v>
      </c>
      <c r="O8" s="20">
        <v>1</v>
      </c>
      <c r="R8" s="5">
        <v>6</v>
      </c>
      <c r="S8" s="21" t="e">
        <f t="shared" si="0"/>
        <v>#VALUE!</v>
      </c>
      <c r="U8" s="22" t="s">
        <v>2</v>
      </c>
      <c r="V8" s="21" t="e">
        <f>LOOKUP(V7,$L$3:$L$26,$M$3:$M$26)</f>
        <v>#N/A</v>
      </c>
    </row>
    <row r="9" spans="1:24" ht="15" customHeight="1" thickBot="1" x14ac:dyDescent="0.3">
      <c r="A9" s="156"/>
      <c r="B9" s="157"/>
      <c r="C9" s="158"/>
      <c r="E9" s="5" t="str">
        <f t="shared" ref="E9:E36" si="2">IF(OR(F9="",F9=0),"",E8+1)</f>
        <v/>
      </c>
      <c r="F9" s="6" t="str">
        <f>IF(IF(OR(I8="",I8=0),"",IF(ROUND(MIN($V$2*3,$B$35-SUM($J$6:$J8)),0)&lt;0,0,ROUND(MIN($V$2*3,$B$35-SUM($J$6:$J8)),0)))&gt;0, IF(OR(I8="",I8=0),"",IF(ROUND(MIN($V$2*3,$B$35-SUM($J$6:$J8)),0)&lt;0,0,ROUND(MIN($V$2*3,$B$35-SUM($J$6:$J8)),0))),0)</f>
        <v/>
      </c>
      <c r="G9" s="6" t="str">
        <f>IF(IF(OR(F9="",F9=0),"",IF(ROUND(MIN($V$2*3,$B$35-SUM($J$6:$J8)-SUM($F9:F9)),0)&lt;0,0,ROUND(MIN($V$2*3,$B$35-SUM($J$6:$J8)-SUM($F9:F9)),0)))&gt;0,IF(OR(F9="",F9=0),"",IF(ROUND(MIN($V$2*3,$B$35-SUM($J$6:$J8)-SUM($F9:F9)),0)&lt;0,0,ROUND(MIN($V$2*3,$B$35-SUM($J$6:$J8)-SUM($F9:F9)),0))),0)</f>
        <v/>
      </c>
      <c r="H9" s="6" t="str">
        <f>IF(IF(OR(G9="",G9=0),"",IF(ROUND(MIN($V$2*3,$B$35-SUM($J$6:$J8)-SUM($F9:G9)),0)&lt;0,0,ROUND(MIN($V$2*3,$B$35-SUM($J$6:$J8)-SUM($F9:G9)),0)))&gt;0,IF(OR(G9="",G9=0),"",IF(ROUND(MIN($V$2*3,$B$35-SUM($J$6:$J8)-SUM($F9:G9)),0)&lt;0,0,ROUND(MIN($V$2*3,$B$35-SUM($J$6:$J8)-SUM($F9:G9)),0))),0)</f>
        <v/>
      </c>
      <c r="I9" s="6" t="str">
        <f>IF(IF(OR(H9="",H9=0),"",IF(ROUND(MIN($V$2*3,$B$35-SUM($J$6:$J8)-SUM($F9:H9)),0)&lt;0,0,ROUND(MIN($V$2*3,$B$35-SUM($J$6:$J8)-SUM($F9:H9)),0)))&gt;0,IF(OR(H9="",H9=0),"",IF(ROUND(MIN($V$2*3,$B$35-SUM($J$6:$J8)-SUM($F9:H9)),0)&lt;0,0,ROUND(MIN($V$2*3,$B$35-SUM($J$6:$J8)-SUM($F9:H9)),0))),0)</f>
        <v/>
      </c>
      <c r="J9" s="7" t="str">
        <f t="shared" si="1"/>
        <v/>
      </c>
      <c r="L9" s="18">
        <v>7</v>
      </c>
      <c r="M9" s="19">
        <v>3</v>
      </c>
      <c r="N9" s="19">
        <v>7</v>
      </c>
      <c r="O9" s="20">
        <v>3</v>
      </c>
      <c r="P9" s="30"/>
      <c r="Q9" s="30"/>
      <c r="R9" s="5">
        <v>7</v>
      </c>
      <c r="S9" s="21" t="e">
        <f t="shared" si="0"/>
        <v>#VALUE!</v>
      </c>
      <c r="U9" s="28" t="s">
        <v>9</v>
      </c>
      <c r="V9" s="29">
        <f>DATE(YEAR($B$42),MONTH($B$13),DAY($B$13))</f>
        <v>0</v>
      </c>
    </row>
    <row r="10" spans="1:24" ht="12.75" customHeight="1" thickBot="1" x14ac:dyDescent="0.3">
      <c r="A10" s="70" t="s">
        <v>40</v>
      </c>
      <c r="B10" s="71"/>
      <c r="C10" s="72"/>
      <c r="E10" s="5" t="str">
        <f t="shared" si="2"/>
        <v/>
      </c>
      <c r="F10" s="6" t="str">
        <f>IF(IF(OR(I9="",I9=0),"",IF(ROUND(MIN($V$2*3,$B$35-SUM($J$6:$J9)),0)&lt;0,0,ROUND(MIN($V$2*3,$B$35-SUM($J$6:$J9)),0)))&gt;0, IF(OR(I9="",I9=0),"",IF(ROUND(MIN($V$2*3,$B$35-SUM($J$6:$J9)),0)&lt;0,0,ROUND(MIN($V$2*3,$B$35-SUM($J$6:$J9)),0))),0)</f>
        <v/>
      </c>
      <c r="G10" s="6" t="str">
        <f>IF(IF(OR(F10="",F10=0),"",IF(ROUND(MIN($V$2*3,$B$35-SUM($J$6:$J9)-SUM($F10:F10)),0)&lt;0,0,ROUND(MIN($V$2*3,$B$35-SUM($J$6:$J9)-SUM($F10:F10)),0)))&gt;0,IF(OR(F10="",F10=0),"",IF(ROUND(MIN($V$2*3,$B$35-SUM($J$6:$J9)-SUM($F10:F10)),0)&lt;0,0,ROUND(MIN($V$2*3,$B$35-SUM($J$6:$J9)-SUM($F10:F10)),0))),0)</f>
        <v/>
      </c>
      <c r="H10" s="6" t="str">
        <f>IF(IF(OR(G10="",G10=0),"",IF(ROUND(MIN($V$2*3,$B$35-SUM($J$6:$J9)-SUM($F10:G10)),0)&lt;0,0,ROUND(MIN($V$2*3,$B$35-SUM($J$6:$J9)-SUM($F10:G10)),0)))&gt;0,IF(OR(G10="",G10=0),"",IF(ROUND(MIN($V$2*3,$B$35-SUM($J$6:$J9)-SUM($F10:G10)),0)&lt;0,0,ROUND(MIN($V$2*3,$B$35-SUM($J$6:$J9)-SUM($F10:G10)),0))),0)</f>
        <v/>
      </c>
      <c r="I10" s="6" t="str">
        <f>IF(IF(OR(H10="",H10=0),"",IF(ROUND(MIN($V$2*3,$B$35-SUM($J$6:$J9)-SUM($F10:H10)),0)&lt;0,0,ROUND(MIN($V$2*3,$B$35-SUM($J$6:$J9)-SUM($F10:H10)),0)))&gt;0,IF(OR(H10="",H10=0),"",IF(ROUND(MIN($V$2*3,$B$35-SUM($J$6:$J9)-SUM($F10:H10)),0)&lt;0,0,ROUND(MIN($V$2*3,$B$35-SUM($J$6:$J9)-SUM($F10:H10)),0))),0)</f>
        <v/>
      </c>
      <c r="J10" s="7" t="str">
        <f t="shared" si="1"/>
        <v/>
      </c>
      <c r="L10" s="18">
        <v>8</v>
      </c>
      <c r="M10" s="19">
        <v>3</v>
      </c>
      <c r="N10" s="19">
        <v>8</v>
      </c>
      <c r="O10" s="20">
        <v>2</v>
      </c>
      <c r="R10" s="5">
        <v>8</v>
      </c>
      <c r="S10" s="21" t="e">
        <f t="shared" si="0"/>
        <v>#VALUE!</v>
      </c>
      <c r="U10" s="54"/>
    </row>
    <row r="11" spans="1:24" ht="12.75" customHeight="1" thickBot="1" x14ac:dyDescent="0.3">
      <c r="A11" s="73" t="s">
        <v>12</v>
      </c>
      <c r="B11" s="75"/>
      <c r="C11" s="74"/>
      <c r="E11" s="5" t="str">
        <f t="shared" si="2"/>
        <v/>
      </c>
      <c r="F11" s="6" t="str">
        <f>IF(IF(OR(I10="",I10=0),"",IF(ROUND(MIN($V$2*3,$B$35-SUM($J$6:$J10)),0)&lt;0,0,ROUND(MIN($V$2*3,$B$35-SUM($J$6:$J10)),0)))&gt;0, IF(OR(I10="",I10=0),"",IF(ROUND(MIN($V$2*3,$B$35-SUM($J$6:$J10)),0)&lt;0,0,ROUND(MIN($V$2*3,$B$35-SUM($J$6:$J10)),0))),0)</f>
        <v/>
      </c>
      <c r="G11" s="6" t="str">
        <f>IF(IF(OR(F11="",F11=0),"",IF(ROUND(MIN($V$2*3,$B$35-SUM($J$6:$J10)-SUM($F11:F11)),0)&lt;0,0,ROUND(MIN($V$2*3,$B$35-SUM($J$6:$J10)-SUM($F11:F11)),0)))&gt;0,IF(OR(F11="",F11=0),"",IF(ROUND(MIN($V$2*3,$B$35-SUM($J$6:$J10)-SUM($F11:F11)),0)&lt;0,0,ROUND(MIN($V$2*3,$B$35-SUM($J$6:$J10)-SUM($F11:F11)),0))),0)</f>
        <v/>
      </c>
      <c r="H11" s="6" t="str">
        <f>IF(IF(OR(G11="",G11=0),"",IF(ROUND(MIN($V$2*3,$B$35-SUM($J$6:$J10)-SUM($F11:G11)),0)&lt;0,0,ROUND(MIN($V$2*3,$B$35-SUM($J$6:$J10)-SUM($F11:G11)),0)))&gt;0,IF(OR(G11="",G11=0),"",IF(ROUND(MIN($V$2*3,$B$35-SUM($J$6:$J10)-SUM($F11:G11)),0)&lt;0,0,ROUND(MIN($V$2*3,$B$35-SUM($J$6:$J10)-SUM($F11:G11)),0))),0)</f>
        <v/>
      </c>
      <c r="I11" s="6" t="str">
        <f>IF(IF(OR(H11="",H11=0),"",IF(ROUND(MIN($V$2*3,$B$35-SUM($J$6:$J10)-SUM($F11:H11)),0)&lt;0,0,ROUND(MIN($V$2*3,$B$35-SUM($J$6:$J10)-SUM($F11:H11)),0)))&gt;0,IF(OR(H11="",H11=0),"",IF(ROUND(MIN($V$2*3,$B$35-SUM($J$6:$J10)-SUM($F11:H11)),0)&lt;0,0,ROUND(MIN($V$2*3,$B$35-SUM($J$6:$J10)-SUM($F11:H11)),0))),0)</f>
        <v/>
      </c>
      <c r="J11" s="7" t="str">
        <f t="shared" si="1"/>
        <v/>
      </c>
      <c r="L11" s="18">
        <v>9</v>
      </c>
      <c r="M11" s="19">
        <v>3</v>
      </c>
      <c r="N11" s="19">
        <v>9</v>
      </c>
      <c r="O11" s="20">
        <v>1</v>
      </c>
      <c r="R11" s="5">
        <v>9</v>
      </c>
      <c r="S11" s="21" t="e">
        <f t="shared" si="0"/>
        <v>#VALUE!</v>
      </c>
      <c r="U11" s="1" t="s">
        <v>46</v>
      </c>
    </row>
    <row r="12" spans="1:24" ht="12.75" customHeight="1" x14ac:dyDescent="0.25">
      <c r="A12" s="73" t="s">
        <v>13</v>
      </c>
      <c r="B12" s="92"/>
      <c r="C12" s="74"/>
      <c r="E12" s="5" t="str">
        <f t="shared" si="2"/>
        <v/>
      </c>
      <c r="F12" s="6" t="str">
        <f>IF(IF(OR(I11="",I11=0),"",IF(ROUND(MIN($V$2*3,$B$35-SUM($J$6:$J11)),0)&lt;0,0,ROUND(MIN($V$2*3,$B$35-SUM($J$6:$J11)),0)))&gt;0, IF(OR(I11="",I11=0),"",IF(ROUND(MIN($V$2*3,$B$35-SUM($J$6:$J11)),0)&lt;0,0,ROUND(MIN($V$2*3,$B$35-SUM($J$6:$J11)),0))),0)</f>
        <v/>
      </c>
      <c r="G12" s="6" t="str">
        <f>IF(IF(OR(F12="",F12=0),"",IF(ROUND(MIN($V$2*3,$B$35-SUM($J$6:$J11)-SUM($F12:F12)),0)&lt;0,0,ROUND(MIN($V$2*3,$B$35-SUM($J$6:$J11)-SUM($F12:F12)),0)))&gt;0,IF(OR(F12="",F12=0),"",IF(ROUND(MIN($V$2*3,$B$35-SUM($J$6:$J11)-SUM($F12:F12)),0)&lt;0,0,ROUND(MIN($V$2*3,$B$35-SUM($J$6:$J11)-SUM($F12:F12)),0))),0)</f>
        <v/>
      </c>
      <c r="H12" s="6" t="str">
        <f>IF(IF(OR(G12="",G12=0),"",IF(ROUND(MIN($V$2*3,$B$35-SUM($J$6:$J11)-SUM($F12:G12)),0)&lt;0,0,ROUND(MIN($V$2*3,$B$35-SUM($J$6:$J11)-SUM($F12:G12)),0)))&gt;0,IF(OR(G12="",G12=0),"",IF(ROUND(MIN($V$2*3,$B$35-SUM($J$6:$J11)-SUM($F12:G12)),0)&lt;0,0,ROUND(MIN($V$2*3,$B$35-SUM($J$6:$J11)-SUM($F12:G12)),0))),0)</f>
        <v/>
      </c>
      <c r="I12" s="6" t="str">
        <f>IF(IF(OR(H12="",H12=0),"",IF(ROUND(MIN($V$2*3,$B$35-SUM($J$6:$J11)-SUM($F12:H12)),0)&lt;0,0,ROUND(MIN($V$2*3,$B$35-SUM($J$6:$J11)-SUM($F12:H12)),0)))&gt;0,IF(OR(H12="",H12=0),"",IF(ROUND(MIN($V$2*3,$B$35-SUM($J$6:$J11)-SUM($F12:H12)),0)&lt;0,0,ROUND(MIN($V$2*3,$B$35-SUM($J$6:$J11)-SUM($F12:H12)),0))),0)</f>
        <v/>
      </c>
      <c r="J12" s="7" t="str">
        <f t="shared" si="1"/>
        <v/>
      </c>
      <c r="L12" s="18">
        <v>10</v>
      </c>
      <c r="M12" s="19">
        <v>4</v>
      </c>
      <c r="N12" s="19">
        <v>10</v>
      </c>
      <c r="O12" s="20">
        <v>3</v>
      </c>
      <c r="P12" s="30"/>
      <c r="Q12" s="30"/>
      <c r="R12" s="5">
        <v>10</v>
      </c>
      <c r="S12" s="21" t="e">
        <f t="shared" si="0"/>
        <v>#VALUE!</v>
      </c>
      <c r="U12" s="16" t="s">
        <v>3</v>
      </c>
      <c r="V12" s="26">
        <f>(YEAR($B$18)-YEAR(DATE(YEAR($B$18)-1,MONTH($B$13),DAY($B$13))))*12+MONTH($B$18)-MONTH(DATE(YEAR($B$18)-1,MONTH($B$13),DAY($B$13)))</f>
        <v>-22787</v>
      </c>
    </row>
    <row r="13" spans="1:24" ht="12.75" customHeight="1" x14ac:dyDescent="0.25">
      <c r="A13" s="73" t="s">
        <v>14</v>
      </c>
      <c r="B13" s="93"/>
      <c r="C13" s="74"/>
      <c r="E13" s="5" t="str">
        <f t="shared" si="2"/>
        <v/>
      </c>
      <c r="F13" s="6" t="str">
        <f>IF(IF(OR(I12="",I12=0),"",IF(ROUND(MIN($V$2*3,$B$35-SUM($J$6:$J12)),0)&lt;0,0,ROUND(MIN($V$2*3,$B$35-SUM($J$6:$J12)),0)))&gt;0, IF(OR(I12="",I12=0),"",IF(ROUND(MIN($V$2*3,$B$35-SUM($J$6:$J12)),0)&lt;0,0,ROUND(MIN($V$2*3,$B$35-SUM($J$6:$J12)),0))),0)</f>
        <v/>
      </c>
      <c r="G13" s="6" t="str">
        <f>IF(IF(OR(F13="",F13=0),"",IF(ROUND(MIN($V$2*3,$B$35-SUM($J$6:$J12)-SUM($F13:F13)),0)&lt;0,0,ROUND(MIN($V$2*3,$B$35-SUM($J$6:$J12)-SUM($F13:F13)),0)))&gt;0,IF(OR(F13="",F13=0),"",IF(ROUND(MIN($V$2*3,$B$35-SUM($J$6:$J12)-SUM($F13:F13)),0)&lt;0,0,ROUND(MIN($V$2*3,$B$35-SUM($J$6:$J12)-SUM($F13:F13)),0))),0)</f>
        <v/>
      </c>
      <c r="H13" s="6" t="str">
        <f>IF(IF(OR(G13="",G13=0),"",IF(ROUND(MIN($V$2*3,$B$35-SUM($J$6:$J12)-SUM($F13:G13)),0)&lt;0,0,ROUND(MIN($V$2*3,$B$35-SUM($J$6:$J12)-SUM($F13:G13)),0)))&gt;0,IF(OR(G13="",G13=0),"",IF(ROUND(MIN($V$2*3,$B$35-SUM($J$6:$J12)-SUM($F13:G13)),0)&lt;0,0,ROUND(MIN($V$2*3,$B$35-SUM($J$6:$J12)-SUM($F13:G13)),0))),0)</f>
        <v/>
      </c>
      <c r="I13" s="6" t="str">
        <f>IF(IF(OR(H13="",H13=0),"",IF(ROUND(MIN($V$2*3,$B$35-SUM($J$6:$J12)-SUM($F13:H13)),0)&lt;0,0,ROUND(MIN($V$2*3,$B$35-SUM($J$6:$J12)-SUM($F13:H13)),0)))&gt;0,IF(OR(H13="",H13=0),"",IF(ROUND(MIN($V$2*3,$B$35-SUM($J$6:$J12)-SUM($F13:H13)),0)&lt;0,0,ROUND(MIN($V$2*3,$B$35-SUM($J$6:$J12)-SUM($F13:H13)),0))),0)</f>
        <v/>
      </c>
      <c r="J13" s="7" t="str">
        <f t="shared" si="1"/>
        <v/>
      </c>
      <c r="L13" s="18">
        <v>11</v>
      </c>
      <c r="M13" s="19">
        <v>4</v>
      </c>
      <c r="N13" s="19">
        <v>11</v>
      </c>
      <c r="O13" s="20">
        <v>2</v>
      </c>
      <c r="P13" s="30"/>
      <c r="Q13" s="30"/>
      <c r="R13" s="5">
        <v>11</v>
      </c>
      <c r="S13" s="21" t="e">
        <f t="shared" si="0"/>
        <v>#VALUE!</v>
      </c>
      <c r="U13" s="22" t="s">
        <v>2</v>
      </c>
      <c r="V13" s="21" t="e">
        <f>LOOKUP(V12,$L$3:$L$26,$M$3:$M$26)</f>
        <v>#N/A</v>
      </c>
    </row>
    <row r="14" spans="1:24" ht="12.75" customHeight="1" thickBot="1" x14ac:dyDescent="0.3">
      <c r="A14" s="73" t="s">
        <v>86</v>
      </c>
      <c r="B14" s="94"/>
      <c r="C14" s="74"/>
      <c r="E14" s="5" t="str">
        <f t="shared" si="2"/>
        <v/>
      </c>
      <c r="F14" s="6" t="str">
        <f>IF(IF(OR(I13="",I13=0),"",IF(ROUND(MIN($V$2*3,$B$35-SUM($J$6:$J13)),0)&lt;0,0,ROUND(MIN($V$2*3,$B$35-SUM($J$6:$J13)),0)))&gt;0, IF(OR(I13="",I13=0),"",IF(ROUND(MIN($V$2*3,$B$35-SUM($J$6:$J13)),0)&lt;0,0,ROUND(MIN($V$2*3,$B$35-SUM($J$6:$J13)),0))),0)</f>
        <v/>
      </c>
      <c r="G14" s="6" t="str">
        <f>IF(IF(OR(F14="",F14=0),"",IF(ROUND(MIN($V$2*3,$B$35-SUM($J$6:$J13)-SUM($F14:F14)),0)&lt;0,0,ROUND(MIN($V$2*3,$B$35-SUM($J$6:$J13)-SUM($F14:F14)),0)))&gt;0,IF(OR(F14="",F14=0),"",IF(ROUND(MIN($V$2*3,$B$35-SUM($J$6:$J13)-SUM($F14:F14)),0)&lt;0,0,ROUND(MIN($V$2*3,$B$35-SUM($J$6:$J13)-SUM($F14:F14)),0))),0)</f>
        <v/>
      </c>
      <c r="H14" s="6" t="str">
        <f>IF(IF(OR(G14="",G14=0),"",IF(ROUND(MIN($V$2*3,$B$35-SUM($J$6:$J13)-SUM($F14:G14)),0)&lt;0,0,ROUND(MIN($V$2*3,$B$35-SUM($J$6:$J13)-SUM($F14:G14)),0)))&gt;0,IF(OR(G14="",G14=0),"",IF(ROUND(MIN($V$2*3,$B$35-SUM($J$6:$J13)-SUM($F14:G14)),0)&lt;0,0,ROUND(MIN($V$2*3,$B$35-SUM($J$6:$J13)-SUM($F14:G14)),0))),0)</f>
        <v/>
      </c>
      <c r="I14" s="6" t="str">
        <f>IF(IF(OR(H14="",H14=0),"",IF(ROUND(MIN($V$2*3,$B$35-SUM($J$6:$J13)-SUM($F14:H14)),0)&lt;0,0,ROUND(MIN($V$2*3,$B$35-SUM($J$6:$J13)-SUM($F14:H14)),0)))&gt;0,IF(OR(H14="",H14=0),"",IF(ROUND(MIN($V$2*3,$B$35-SUM($J$6:$J13)-SUM($F14:H14)),0)&lt;0,0,ROUND(MIN($V$2*3,$B$35-SUM($J$6:$J13)-SUM($F14:H14)),0))),0)</f>
        <v/>
      </c>
      <c r="J14" s="7" t="str">
        <f t="shared" si="1"/>
        <v/>
      </c>
      <c r="L14" s="18">
        <v>12</v>
      </c>
      <c r="M14" s="19">
        <v>4</v>
      </c>
      <c r="N14" s="19">
        <v>12</v>
      </c>
      <c r="O14" s="20">
        <v>1</v>
      </c>
      <c r="R14" s="5">
        <v>12</v>
      </c>
      <c r="S14" s="21" t="e">
        <f t="shared" si="0"/>
        <v>#VALUE!</v>
      </c>
      <c r="U14" s="28" t="s">
        <v>9</v>
      </c>
      <c r="V14" s="29">
        <f>DATE(YEAR($B$42),MONTH($B$13),DAY($B$13))</f>
        <v>0</v>
      </c>
    </row>
    <row r="15" spans="1:24" ht="12.75" customHeight="1" thickBot="1" x14ac:dyDescent="0.3">
      <c r="A15" s="73"/>
      <c r="B15" s="58"/>
      <c r="C15" s="74"/>
      <c r="E15" s="5" t="str">
        <f t="shared" si="2"/>
        <v/>
      </c>
      <c r="F15" s="6" t="str">
        <f>IF(IF(OR(I14="",I14=0),"",IF(ROUND(MIN($V$2*3,$B$35-SUM($J$6:$J14)),0)&lt;0,0,ROUND(MIN($V$2*3,$B$35-SUM($J$6:$J14)),0)))&gt;0, IF(OR(I14="",I14=0),"",IF(ROUND(MIN($V$2*3,$B$35-SUM($J$6:$J14)),0)&lt;0,0,ROUND(MIN($V$2*3,$B$35-SUM($J$6:$J14)),0))),0)</f>
        <v/>
      </c>
      <c r="G15" s="6" t="str">
        <f>IF(IF(OR(F15="",F15=0),"",IF(ROUND(MIN($V$2*3,$B$35-SUM($J$6:$J14)-SUM($F15:F15)),0)&lt;0,0,ROUND(MIN($V$2*3,$B$35-SUM($J$6:$J14)-SUM($F15:F15)),0)))&gt;0,IF(OR(F15="",F15=0),"",IF(ROUND(MIN($V$2*3,$B$35-SUM($J$6:$J14)-SUM($F15:F15)),0)&lt;0,0,ROUND(MIN($V$2*3,$B$35-SUM($J$6:$J14)-SUM($F15:F15)),0))),0)</f>
        <v/>
      </c>
      <c r="H15" s="6" t="str">
        <f>IF(IF(OR(G15="",G15=0),"",IF(ROUND(MIN($V$2*3,$B$35-SUM($J$6:$J14)-SUM($F15:G15)),0)&lt;0,0,ROUND(MIN($V$2*3,$B$35-SUM($J$6:$J14)-SUM($F15:G15)),0)))&gt;0,IF(OR(G15="",G15=0),"",IF(ROUND(MIN($V$2*3,$B$35-SUM($J$6:$J14)-SUM($F15:G15)),0)&lt;0,0,ROUND(MIN($V$2*3,$B$35-SUM($J$6:$J14)-SUM($F15:G15)),0))),0)</f>
        <v/>
      </c>
      <c r="I15" s="6" t="str">
        <f>IF(IF(OR(H15="",H15=0),"",IF(ROUND(MIN($V$2*3,$B$35-SUM($J$6:$J14)-SUM($F15:H15)),0)&lt;0,0,ROUND(MIN($V$2*3,$B$35-SUM($J$6:$J14)-SUM($F15:H15)),0)))&gt;0,IF(OR(H15="",H15=0),"",IF(ROUND(MIN($V$2*3,$B$35-SUM($J$6:$J14)-SUM($F15:H15)),0)&lt;0,0,ROUND(MIN($V$2*3,$B$35-SUM($J$6:$J14)-SUM($F15:H15)),0))),0)</f>
        <v/>
      </c>
      <c r="J15" s="7" t="str">
        <f t="shared" si="1"/>
        <v/>
      </c>
      <c r="L15" s="18">
        <v>13</v>
      </c>
      <c r="M15" s="19">
        <v>1</v>
      </c>
      <c r="N15" s="19">
        <v>13</v>
      </c>
      <c r="O15" s="20">
        <v>3</v>
      </c>
      <c r="R15" s="5">
        <v>13</v>
      </c>
      <c r="S15" s="21" t="e">
        <f t="shared" si="0"/>
        <v>#VALUE!</v>
      </c>
    </row>
    <row r="16" spans="1:24" ht="13.8" thickBot="1" x14ac:dyDescent="0.3">
      <c r="A16" s="70" t="s">
        <v>41</v>
      </c>
      <c r="B16" s="95"/>
      <c r="C16" s="72"/>
      <c r="E16" s="5" t="str">
        <f t="shared" si="2"/>
        <v/>
      </c>
      <c r="F16" s="6" t="str">
        <f>IF(IF(OR(I15="",I15=0),"",IF(ROUND(MIN($V$2*3,$B$35-SUM($J$6:$J15)),0)&lt;0,0,ROUND(MIN($V$2*3,$B$35-SUM($J$6:$J15)),0)))&gt;0, IF(OR(I15="",I15=0),"",IF(ROUND(MIN($V$2*3,$B$35-SUM($J$6:$J15)),0)&lt;0,0,ROUND(MIN($V$2*3,$B$35-SUM($J$6:$J15)),0))),0)</f>
        <v/>
      </c>
      <c r="G16" s="6" t="str">
        <f>IF(IF(OR(F16="",F16=0),"",IF(ROUND(MIN($V$2*3,$B$35-SUM($J$6:$J15)-SUM($F16:F16)),0)&lt;0,0,ROUND(MIN($V$2*3,$B$35-SUM($J$6:$J15)-SUM($F16:F16)),0)))&gt;0,IF(OR(F16="",F16=0),"",IF(ROUND(MIN($V$2*3,$B$35-SUM($J$6:$J15)-SUM($F16:F16)),0)&lt;0,0,ROUND(MIN($V$2*3,$B$35-SUM($J$6:$J15)-SUM($F16:F16)),0))),0)</f>
        <v/>
      </c>
      <c r="H16" s="6" t="str">
        <f>IF(IF(OR(G16="",G16=0),"",IF(ROUND(MIN($V$2*3,$B$35-SUM($J$6:$J15)-SUM($F16:G16)),0)&lt;0,0,ROUND(MIN($V$2*3,$B$35-SUM($J$6:$J15)-SUM($F16:G16)),0)))&gt;0,IF(OR(G16="",G16=0),"",IF(ROUND(MIN($V$2*3,$B$35-SUM($J$6:$J15)-SUM($F16:G16)),0)&lt;0,0,ROUND(MIN($V$2*3,$B$35-SUM($J$6:$J15)-SUM($F16:G16)),0))),0)</f>
        <v/>
      </c>
      <c r="I16" s="6" t="str">
        <f>IF(IF(OR(H16="",H16=0),"",IF(ROUND(MIN($V$2*3,$B$35-SUM($J$6:$J15)-SUM($F16:H16)),0)&lt;0,0,ROUND(MIN($V$2*3,$B$35-SUM($J$6:$J15)-SUM($F16:H16)),0)))&gt;0,IF(OR(H16="",H16=0),"",IF(ROUND(MIN($V$2*3,$B$35-SUM($J$6:$J15)-SUM($F16:H16)),0)&lt;0,0,ROUND(MIN($V$2*3,$B$35-SUM($J$6:$J15)-SUM($F16:H16)),0))),0)</f>
        <v/>
      </c>
      <c r="J16" s="7" t="str">
        <f t="shared" si="1"/>
        <v/>
      </c>
      <c r="L16" s="18">
        <v>14</v>
      </c>
      <c r="M16" s="19">
        <v>1</v>
      </c>
      <c r="N16" s="19">
        <v>14</v>
      </c>
      <c r="O16" s="20">
        <v>2</v>
      </c>
      <c r="R16" s="5">
        <v>14</v>
      </c>
      <c r="S16" s="21" t="e">
        <f t="shared" si="0"/>
        <v>#VALUE!</v>
      </c>
      <c r="U16" s="1" t="s">
        <v>49</v>
      </c>
    </row>
    <row r="17" spans="1:34" ht="12" customHeight="1" x14ac:dyDescent="0.25">
      <c r="A17" s="73" t="s">
        <v>27</v>
      </c>
      <c r="B17" s="75"/>
      <c r="C17" s="74"/>
      <c r="E17" s="5" t="str">
        <f t="shared" si="2"/>
        <v/>
      </c>
      <c r="F17" s="6" t="str">
        <f>IF(IF(OR(I16="",I16=0),"",IF(ROUND(MIN($V$2*3,$B$35-SUM($J$6:$J16)),0)&lt;0,0,ROUND(MIN($V$2*3,$B$35-SUM($J$6:$J16)),0)))&gt;0, IF(OR(I16="",I16=0),"",IF(ROUND(MIN($V$2*3,$B$35-SUM($J$6:$J16)),0)&lt;0,0,ROUND(MIN($V$2*3,$B$35-SUM($J$6:$J16)),0))),0)</f>
        <v/>
      </c>
      <c r="G17" s="6" t="str">
        <f>IF(IF(OR(F17="",F17=0),"",IF(ROUND(MIN($V$2*3,$B$35-SUM($J$6:$J16)-SUM($F17:F17)),0)&lt;0,0,ROUND(MIN($V$2*3,$B$35-SUM($J$6:$J16)-SUM($F17:F17)),0)))&gt;0,IF(OR(F17="",F17=0),"",IF(ROUND(MIN($V$2*3,$B$35-SUM($J$6:$J16)-SUM($F17:F17)),0)&lt;0,0,ROUND(MIN($V$2*3,$B$35-SUM($J$6:$J16)-SUM($F17:F17)),0))),0)</f>
        <v/>
      </c>
      <c r="H17" s="6" t="str">
        <f>IF(IF(OR(G17="",G17=0),"",IF(ROUND(MIN($V$2*3,$B$35-SUM($J$6:$J16)-SUM($F17:G17)),0)&lt;0,0,ROUND(MIN($V$2*3,$B$35-SUM($J$6:$J16)-SUM($F17:G17)),0)))&gt;0,IF(OR(G17="",G17=0),"",IF(ROUND(MIN($V$2*3,$B$35-SUM($J$6:$J16)-SUM($F17:G17)),0)&lt;0,0,ROUND(MIN($V$2*3,$B$35-SUM($J$6:$J16)-SUM($F17:G17)),0))),0)</f>
        <v/>
      </c>
      <c r="I17" s="6" t="str">
        <f>IF(IF(OR(H17="",H17=0),"",IF(ROUND(MIN($V$2*3,$B$35-SUM($J$6:$J16)-SUM($F17:H17)),0)&lt;0,0,ROUND(MIN($V$2*3,$B$35-SUM($J$6:$J16)-SUM($F17:H17)),0)))&gt;0,IF(OR(H17="",H17=0),"",IF(ROUND(MIN($V$2*3,$B$35-SUM($J$6:$J16)-SUM($F17:H17)),0)&lt;0,0,ROUND(MIN($V$2*3,$B$35-SUM($J$6:$J16)-SUM($F17:H17)),0))),0)</f>
        <v/>
      </c>
      <c r="J17" s="7" t="str">
        <f t="shared" si="1"/>
        <v/>
      </c>
      <c r="L17" s="18">
        <v>15</v>
      </c>
      <c r="M17" s="19">
        <v>1</v>
      </c>
      <c r="N17" s="19">
        <v>15</v>
      </c>
      <c r="O17" s="20">
        <v>1</v>
      </c>
      <c r="R17" s="5">
        <v>15</v>
      </c>
      <c r="S17" s="21" t="e">
        <f t="shared" si="0"/>
        <v>#VALUE!</v>
      </c>
      <c r="U17" s="104" t="s">
        <v>0</v>
      </c>
      <c r="V17" s="34">
        <f>IF(ISERROR(IF(B19&gt;V18,YEAR(V18)+2,YEAR(V18)+1)),"Please enter the correct relevant period",IF(B19&gt;V18,YEAR(V18)+2,YEAR(V18)+1))</f>
        <v>1901</v>
      </c>
    </row>
    <row r="18" spans="1:34" ht="12" customHeight="1" thickBot="1" x14ac:dyDescent="0.3">
      <c r="A18" s="105" t="s">
        <v>48</v>
      </c>
      <c r="B18" s="76"/>
      <c r="C18" s="74"/>
      <c r="E18" s="5" t="str">
        <f t="shared" si="2"/>
        <v/>
      </c>
      <c r="F18" s="6" t="str">
        <f>IF(IF(OR(I17="",I17=0),"",IF(ROUND(MIN($V$2*3,$B$35-SUM($J$6:$J17)),0)&lt;0,0,ROUND(MIN($V$2*3,$B$35-SUM($J$6:$J17)),0)))&gt;0, IF(OR(I17="",I17=0),"",IF(ROUND(MIN($V$2*3,$B$35-SUM($J$6:$J17)),0)&lt;0,0,ROUND(MIN($V$2*3,$B$35-SUM($J$6:$J17)),0))),0)</f>
        <v/>
      </c>
      <c r="G18" s="6" t="str">
        <f>IF(IF(OR(F18="",F18=0),"",IF(ROUND(MIN($V$2*3,$B$35-SUM($J$6:$J17)-SUM($F18:F18)),0)&lt;0,0,ROUND(MIN($V$2*3,$B$35-SUM($J$6:$J17)-SUM($F18:F18)),0)))&gt;0,IF(OR(F18="",F18=0),"",IF(ROUND(MIN($V$2*3,$B$35-SUM($J$6:$J17)-SUM($F18:F18)),0)&lt;0,0,ROUND(MIN($V$2*3,$B$35-SUM($J$6:$J17)-SUM($F18:F18)),0))),0)</f>
        <v/>
      </c>
      <c r="H18" s="6" t="str">
        <f>IF(IF(OR(G18="",G18=0),"",IF(ROUND(MIN($V$2*3,$B$35-SUM($J$6:$J17)-SUM($F18:G18)),0)&lt;0,0,ROUND(MIN($V$2*3,$B$35-SUM($J$6:$J17)-SUM($F18:G18)),0)))&gt;0,IF(OR(G18="",G18=0),"",IF(ROUND(MIN($V$2*3,$B$35-SUM($J$6:$J17)-SUM($F18:G18)),0)&lt;0,0,ROUND(MIN($V$2*3,$B$35-SUM($J$6:$J17)-SUM($F18:G18)),0))),0)</f>
        <v/>
      </c>
      <c r="I18" s="6" t="str">
        <f>IF(IF(OR(H18="",H18=0),"",IF(ROUND(MIN($V$2*3,$B$35-SUM($J$6:$J17)-SUM($F18:H18)),0)&lt;0,0,ROUND(MIN($V$2*3,$B$35-SUM($J$6:$J17)-SUM($F18:H18)),0)))&gt;0,IF(OR(H18="",H18=0),"",IF(ROUND(MIN($V$2*3,$B$35-SUM($J$6:$J17)-SUM($F18:H18)),0)&lt;0,0,ROUND(MIN($V$2*3,$B$35-SUM($J$6:$J17)-SUM($F18:H18)),0))),0)</f>
        <v/>
      </c>
      <c r="J18" s="7" t="str">
        <f t="shared" si="1"/>
        <v/>
      </c>
      <c r="L18" s="18">
        <v>16</v>
      </c>
      <c r="M18" s="19">
        <v>2</v>
      </c>
      <c r="N18" s="19">
        <v>16</v>
      </c>
      <c r="O18" s="20">
        <v>3</v>
      </c>
      <c r="R18" s="5">
        <v>16</v>
      </c>
      <c r="S18" s="21" t="e">
        <f t="shared" si="0"/>
        <v>#VALUE!</v>
      </c>
      <c r="U18" s="28" t="s">
        <v>9</v>
      </c>
      <c r="V18" s="103">
        <f>DATE(YEAR($B$19),MONTH($B$13),DAY($B$13))</f>
        <v>0</v>
      </c>
    </row>
    <row r="19" spans="1:34" ht="12" customHeight="1" x14ac:dyDescent="0.25">
      <c r="A19" s="73" t="s">
        <v>47</v>
      </c>
      <c r="B19" s="77"/>
      <c r="C19" s="74"/>
      <c r="E19" s="5" t="str">
        <f t="shared" si="2"/>
        <v/>
      </c>
      <c r="F19" s="6" t="str">
        <f>IF(IF(OR(I18="",I18=0),"",IF(ROUND(MIN($V$2*3,$B$35-SUM($J$6:$J18)),0)&lt;0,0,ROUND(MIN($V$2*3,$B$35-SUM($J$6:$J18)),0)))&gt;0, IF(OR(I18="",I18=0),"",IF(ROUND(MIN($V$2*3,$B$35-SUM($J$6:$J18)),0)&lt;0,0,ROUND(MIN($V$2*3,$B$35-SUM($J$6:$J18)),0))),0)</f>
        <v/>
      </c>
      <c r="G19" s="6" t="str">
        <f>IF(IF(OR(F19="",F19=0),"",IF(ROUND(MIN($V$2*3,$B$35-SUM($J$6:$J18)-SUM($F19:F19)),0)&lt;0,0,ROUND(MIN($V$2*3,$B$35-SUM($J$6:$J18)-SUM($F19:F19)),0)))&gt;0,IF(OR(F19="",F19=0),"",IF(ROUND(MIN($V$2*3,$B$35-SUM($J$6:$J18)-SUM($F19:F19)),0)&lt;0,0,ROUND(MIN($V$2*3,$B$35-SUM($J$6:$J18)-SUM($F19:F19)),0))),0)</f>
        <v/>
      </c>
      <c r="H19" s="6" t="str">
        <f>IF(IF(OR(G19="",G19=0),"",IF(ROUND(MIN($V$2*3,$B$35-SUM($J$6:$J18)-SUM($F19:G19)),0)&lt;0,0,ROUND(MIN($V$2*3,$B$35-SUM($J$6:$J18)-SUM($F19:G19)),0)))&gt;0,IF(OR(G19="",G19=0),"",IF(ROUND(MIN($V$2*3,$B$35-SUM($J$6:$J18)-SUM($F19:G19)),0)&lt;0,0,ROUND(MIN($V$2*3,$B$35-SUM($J$6:$J18)-SUM($F19:G19)),0))),0)</f>
        <v/>
      </c>
      <c r="I19" s="6" t="str">
        <f>IF(IF(OR(H19="",H19=0),"",IF(ROUND(MIN($V$2*3,$B$35-SUM($J$6:$J18)-SUM($F19:H19)),0)&lt;0,0,ROUND(MIN($V$2*3,$B$35-SUM($J$6:$J18)-SUM($F19:H19)),0)))&gt;0,IF(OR(H19="",H19=0),"",IF(ROUND(MIN($V$2*3,$B$35-SUM($J$6:$J18)-SUM($F19:H19)),0)&lt;0,0,ROUND(MIN($V$2*3,$B$35-SUM($J$6:$J18)-SUM($F19:H19)),0))),0)</f>
        <v/>
      </c>
      <c r="J19" s="7" t="str">
        <f t="shared" si="1"/>
        <v/>
      </c>
      <c r="L19" s="18">
        <v>17</v>
      </c>
      <c r="M19" s="19">
        <v>2</v>
      </c>
      <c r="N19" s="19">
        <v>17</v>
      </c>
      <c r="O19" s="20">
        <v>2</v>
      </c>
      <c r="R19" s="5">
        <v>17</v>
      </c>
      <c r="S19" s="21" t="e">
        <f t="shared" si="0"/>
        <v>#VALUE!</v>
      </c>
    </row>
    <row r="20" spans="1:34" ht="12" customHeight="1" thickBot="1" x14ac:dyDescent="0.3">
      <c r="A20" s="73" t="s">
        <v>26</v>
      </c>
      <c r="B20" s="78"/>
      <c r="C20" s="74"/>
      <c r="E20" s="5" t="str">
        <f t="shared" si="2"/>
        <v/>
      </c>
      <c r="F20" s="6" t="str">
        <f>IF(IF(OR(I19="",I19=0),"",IF(ROUND(MIN($V$2*3,$B$35-SUM($J$6:$J19)),0)&lt;0,0,ROUND(MIN($V$2*3,$B$35-SUM($J$6:$J19)),0)))&gt;0, IF(OR(I19="",I19=0),"",IF(ROUND(MIN($V$2*3,$B$35-SUM($J$6:$J19)),0)&lt;0,0,ROUND(MIN($V$2*3,$B$35-SUM($J$6:$J19)),0))),0)</f>
        <v/>
      </c>
      <c r="G20" s="6" t="str">
        <f>IF(IF(OR(F20="",F20=0),"",IF(ROUND(MIN($V$2*3,$B$35-SUM($J$6:$J19)-SUM($F20:F20)),0)&lt;0,0,ROUND(MIN($V$2*3,$B$35-SUM($J$6:$J19)-SUM($F20:F20)),0)))&gt;0,IF(OR(F20="",F20=0),"",IF(ROUND(MIN($V$2*3,$B$35-SUM($J$6:$J19)-SUM($F20:F20)),0)&lt;0,0,ROUND(MIN($V$2*3,$B$35-SUM($J$6:$J19)-SUM($F20:F20)),0))),0)</f>
        <v/>
      </c>
      <c r="H20" s="6" t="str">
        <f>IF(IF(OR(G20="",G20=0),"",IF(ROUND(MIN($V$2*3,$B$35-SUM($J$6:$J19)-SUM($F20:G20)),0)&lt;0,0,ROUND(MIN($V$2*3,$B$35-SUM($J$6:$J19)-SUM($F20:G20)),0)))&gt;0,IF(OR(G20="",G20=0),"",IF(ROUND(MIN($V$2*3,$B$35-SUM($J$6:$J19)-SUM($F20:G20)),0)&lt;0,0,ROUND(MIN($V$2*3,$B$35-SUM($J$6:$J19)-SUM($F20:G20)),0))),0)</f>
        <v/>
      </c>
      <c r="I20" s="6" t="str">
        <f>IF(IF(OR(H20="",H20=0),"",IF(ROUND(MIN($V$2*3,$B$35-SUM($J$6:$J19)-SUM($F20:H20)),0)&lt;0,0,ROUND(MIN($V$2*3,$B$35-SUM($J$6:$J19)-SUM($F20:H20)),0)))&gt;0,IF(OR(H20="",H20=0),"",IF(ROUND(MIN($V$2*3,$B$35-SUM($J$6:$J19)-SUM($F20:H20)),0)&lt;0,0,ROUND(MIN($V$2*3,$B$35-SUM($J$6:$J19)-SUM($F20:H20)),0))),0)</f>
        <v/>
      </c>
      <c r="J20" s="7" t="str">
        <f t="shared" si="1"/>
        <v/>
      </c>
      <c r="L20" s="18">
        <v>18</v>
      </c>
      <c r="M20" s="19">
        <v>2</v>
      </c>
      <c r="N20" s="19">
        <v>18</v>
      </c>
      <c r="O20" s="20">
        <v>1</v>
      </c>
      <c r="R20" s="5">
        <v>18</v>
      </c>
      <c r="S20" s="21" t="e">
        <f t="shared" si="0"/>
        <v>#VALUE!</v>
      </c>
      <c r="U20" s="1" t="s">
        <v>50</v>
      </c>
    </row>
    <row r="21" spans="1:34" ht="12" customHeight="1" x14ac:dyDescent="0.25">
      <c r="A21" s="73" t="s">
        <v>30</v>
      </c>
      <c r="B21" s="79"/>
      <c r="C21" s="74"/>
      <c r="E21" s="5" t="str">
        <f t="shared" si="2"/>
        <v/>
      </c>
      <c r="F21" s="6" t="str">
        <f>IF(IF(OR(I20="",I20=0),"",IF(ROUND(MIN($V$2*3,$B$35-SUM($J$6:$J20)),0)&lt;0,0,ROUND(MIN($V$2*3,$B$35-SUM($J$6:$J20)),0)))&gt;0, IF(OR(I20="",I20=0),"",IF(ROUND(MIN($V$2*3,$B$35-SUM($J$6:$J20)),0)&lt;0,0,ROUND(MIN($V$2*3,$B$35-SUM($J$6:$J20)),0))),0)</f>
        <v/>
      </c>
      <c r="G21" s="6" t="str">
        <f>IF(IF(OR(F21="",F21=0),"",IF(ROUND(MIN($V$2*3,$B$35-SUM($J$6:$J20)-SUM($F21:F21)),0)&lt;0,0,ROUND(MIN($V$2*3,$B$35-SUM($J$6:$J20)-SUM($F21:F21)),0)))&gt;0,IF(OR(F21="",F21=0),"",IF(ROUND(MIN($V$2*3,$B$35-SUM($J$6:$J20)-SUM($F21:F21)),0)&lt;0,0,ROUND(MIN($V$2*3,$B$35-SUM($J$6:$J20)-SUM($F21:F21)),0))),0)</f>
        <v/>
      </c>
      <c r="H21" s="6" t="str">
        <f>IF(IF(OR(G21="",G21=0),"",IF(ROUND(MIN($V$2*3,$B$35-SUM($J$6:$J20)-SUM($F21:G21)),0)&lt;0,0,ROUND(MIN($V$2*3,$B$35-SUM($J$6:$J20)-SUM($F21:G21)),0)))&gt;0,IF(OR(G21="",G21=0),"",IF(ROUND(MIN($V$2*3,$B$35-SUM($J$6:$J20)-SUM($F21:G21)),0)&lt;0,0,ROUND(MIN($V$2*3,$B$35-SUM($J$6:$J20)-SUM($F21:G21)),0))),0)</f>
        <v/>
      </c>
      <c r="I21" s="6" t="str">
        <f>IF(IF(OR(H21="",H21=0),"",IF(ROUND(MIN($V$2*3,$B$35-SUM($J$6:$J20)-SUM($F21:H21)),0)&lt;0,0,ROUND(MIN($V$2*3,$B$35-SUM($J$6:$J20)-SUM($F21:H21)),0)))&gt;0,IF(OR(H21="",H21=0),"",IF(ROUND(MIN($V$2*3,$B$35-SUM($J$6:$J20)-SUM($F21:H21)),0)&lt;0,0,ROUND(MIN($V$2*3,$B$35-SUM($J$6:$J20)-SUM($F21:H21)),0))),0)</f>
        <v/>
      </c>
      <c r="J21" s="7" t="str">
        <f t="shared" si="1"/>
        <v/>
      </c>
      <c r="L21" s="18">
        <v>19</v>
      </c>
      <c r="M21" s="19">
        <v>3</v>
      </c>
      <c r="N21" s="19">
        <v>19</v>
      </c>
      <c r="O21" s="20">
        <v>3</v>
      </c>
      <c r="R21" s="5">
        <v>19</v>
      </c>
      <c r="S21" s="21" t="e">
        <f t="shared" si="0"/>
        <v>#VALUE!</v>
      </c>
      <c r="U21" s="104" t="s">
        <v>0</v>
      </c>
      <c r="V21" s="34">
        <f>IF(ISERROR(IF(B18&gt;V22,YEAR(V22)+2,YEAR(V22)+1)),"Please enter the correct relevant period",IF(B18&gt;V22,YEAR(V22)+2,YEAR(V22)+1))</f>
        <v>1901</v>
      </c>
    </row>
    <row r="22" spans="1:34" ht="12" customHeight="1" thickBot="1" x14ac:dyDescent="0.3">
      <c r="A22" s="73" t="s">
        <v>28</v>
      </c>
      <c r="B22" s="79"/>
      <c r="C22" s="74"/>
      <c r="E22" s="5" t="str">
        <f t="shared" si="2"/>
        <v/>
      </c>
      <c r="F22" s="6" t="str">
        <f>IF(IF(OR(I21="",I21=0),"",IF(ROUND(MIN($V$2*3,$B$35-SUM($J$6:$J21)),0)&lt;0,0,ROUND(MIN($V$2*3,$B$35-SUM($J$6:$J21)),0)))&gt;0, IF(OR(I21="",I21=0),"",IF(ROUND(MIN($V$2*3,$B$35-SUM($J$6:$J21)),0)&lt;0,0,ROUND(MIN($V$2*3,$B$35-SUM($J$6:$J21)),0))),0)</f>
        <v/>
      </c>
      <c r="G22" s="6" t="str">
        <f>IF(IF(OR(F22="",F22=0),"",IF(ROUND(MIN($V$2*3,$B$35-SUM($J$6:$J21)-SUM($F22:F22)),0)&lt;0,0,ROUND(MIN($V$2*3,$B$35-SUM($J$6:$J21)-SUM($F22:F22)),0)))&gt;0,IF(OR(F22="",F22=0),"",IF(ROUND(MIN($V$2*3,$B$35-SUM($J$6:$J21)-SUM($F22:F22)),0)&lt;0,0,ROUND(MIN($V$2*3,$B$35-SUM($J$6:$J21)-SUM($F22:F22)),0))),0)</f>
        <v/>
      </c>
      <c r="H22" s="6" t="str">
        <f>IF(IF(OR(G22="",G22=0),"",IF(ROUND(MIN($V$2*3,$B$35-SUM($J$6:$J21)-SUM($F22:G22)),0)&lt;0,0,ROUND(MIN($V$2*3,$B$35-SUM($J$6:$J21)-SUM($F22:G22)),0)))&gt;0,IF(OR(G22="",G22=0),"",IF(ROUND(MIN($V$2*3,$B$35-SUM($J$6:$J21)-SUM($F22:G22)),0)&lt;0,0,ROUND(MIN($V$2*3,$B$35-SUM($J$6:$J21)-SUM($F22:G22)),0))),0)</f>
        <v/>
      </c>
      <c r="I22" s="6" t="str">
        <f>IF(IF(OR(H22="",H22=0),"",IF(ROUND(MIN($V$2*3,$B$35-SUM($J$6:$J21)-SUM($F22:H22)),0)&lt;0,0,ROUND(MIN($V$2*3,$B$35-SUM($J$6:$J21)-SUM($F22:H22)),0)))&gt;0,IF(OR(H22="",H22=0),"",IF(ROUND(MIN($V$2*3,$B$35-SUM($J$6:$J21)-SUM($F22:H22)),0)&lt;0,0,ROUND(MIN($V$2*3,$B$35-SUM($J$6:$J21)-SUM($F22:H22)),0))),0)</f>
        <v/>
      </c>
      <c r="J22" s="7" t="str">
        <f t="shared" si="1"/>
        <v/>
      </c>
      <c r="L22" s="18">
        <v>20</v>
      </c>
      <c r="M22" s="19">
        <v>3</v>
      </c>
      <c r="N22" s="19">
        <v>20</v>
      </c>
      <c r="O22" s="20">
        <v>2</v>
      </c>
      <c r="R22" s="5">
        <v>20</v>
      </c>
      <c r="S22" s="21" t="e">
        <f t="shared" si="0"/>
        <v>#VALUE!</v>
      </c>
      <c r="U22" s="28" t="s">
        <v>9</v>
      </c>
      <c r="V22" s="103">
        <f>DATE(YEAR($B$18),MONTH($B$13),DAY($B$13))</f>
        <v>0</v>
      </c>
    </row>
    <row r="23" spans="1:34" ht="12" customHeight="1" x14ac:dyDescent="0.25">
      <c r="A23" s="73" t="s">
        <v>29</v>
      </c>
      <c r="B23" s="79"/>
      <c r="C23" s="74"/>
      <c r="E23" s="5" t="str">
        <f t="shared" si="2"/>
        <v/>
      </c>
      <c r="F23" s="6" t="str">
        <f>IF(IF(OR(I22="",I22=0),"",IF(ROUND(MIN($V$2*3,$B$35-SUM($J$6:$J22)),0)&lt;0,0,ROUND(MIN($V$2*3,$B$35-SUM($J$6:$J22)),0)))&gt;0, IF(OR(I22="",I22=0),"",IF(ROUND(MIN($V$2*3,$B$35-SUM($J$6:$J22)),0)&lt;0,0,ROUND(MIN($V$2*3,$B$35-SUM($J$6:$J22)),0))),0)</f>
        <v/>
      </c>
      <c r="G23" s="6" t="str">
        <f>IF(IF(OR(F23="",F23=0),"",IF(ROUND(MIN($V$2*3,$B$35-SUM($J$6:$J22)-SUM($F23:F23)),0)&lt;0,0,ROUND(MIN($V$2*3,$B$35-SUM($J$6:$J22)-SUM($F23:F23)),0)))&gt;0,IF(OR(F23="",F23=0),"",IF(ROUND(MIN($V$2*3,$B$35-SUM($J$6:$J22)-SUM($F23:F23)),0)&lt;0,0,ROUND(MIN($V$2*3,$B$35-SUM($J$6:$J22)-SUM($F23:F23)),0))),0)</f>
        <v/>
      </c>
      <c r="H23" s="6" t="str">
        <f>IF(IF(OR(G23="",G23=0),"",IF(ROUND(MIN($V$2*3,$B$35-SUM($J$6:$J22)-SUM($F23:G23)),0)&lt;0,0,ROUND(MIN($V$2*3,$B$35-SUM($J$6:$J22)-SUM($F23:G23)),0)))&gt;0,IF(OR(G23="",G23=0),"",IF(ROUND(MIN($V$2*3,$B$35-SUM($J$6:$J22)-SUM($F23:G23)),0)&lt;0,0,ROUND(MIN($V$2*3,$B$35-SUM($J$6:$J22)-SUM($F23:G23)),0))),0)</f>
        <v/>
      </c>
      <c r="I23" s="6" t="str">
        <f>IF(IF(OR(H23="",H23=0),"",IF(ROUND(MIN($V$2*3,$B$35-SUM($J$6:$J22)-SUM($F23:H23)),0)&lt;0,0,ROUND(MIN($V$2*3,$B$35-SUM($J$6:$J22)-SUM($F23:H23)),0)))&gt;0,IF(OR(H23="",H23=0),"",IF(ROUND(MIN($V$2*3,$B$35-SUM($J$6:$J22)-SUM($F23:H23)),0)&lt;0,0,ROUND(MIN($V$2*3,$B$35-SUM($J$6:$J22)-SUM($F23:H23)),0))),0)</f>
        <v/>
      </c>
      <c r="J23" s="7" t="str">
        <f t="shared" si="1"/>
        <v/>
      </c>
      <c r="L23" s="18">
        <v>21</v>
      </c>
      <c r="M23" s="19">
        <v>3</v>
      </c>
      <c r="N23" s="19">
        <v>21</v>
      </c>
      <c r="O23" s="20">
        <v>1</v>
      </c>
      <c r="R23" s="5">
        <v>21</v>
      </c>
      <c r="S23" s="21" t="e">
        <f t="shared" si="0"/>
        <v>#VALUE!</v>
      </c>
    </row>
    <row r="24" spans="1:34" ht="12" customHeight="1" thickBot="1" x14ac:dyDescent="0.3">
      <c r="A24" s="73"/>
      <c r="B24" s="58"/>
      <c r="C24" s="74"/>
      <c r="E24" s="5" t="str">
        <f t="shared" si="2"/>
        <v/>
      </c>
      <c r="F24" s="6" t="str">
        <f>IF(IF(OR(I23="",I23=0),"",IF(ROUND(MIN($V$2*3,$B$35-SUM($J$6:$J23)),0)&lt;0,0,ROUND(MIN($V$2*3,$B$35-SUM($J$6:$J23)),0)))&gt;0, IF(OR(I23="",I23=0),"",IF(ROUND(MIN($V$2*3,$B$35-SUM($J$6:$J23)),0)&lt;0,0,ROUND(MIN($V$2*3,$B$35-SUM($J$6:$J23)),0))),0)</f>
        <v/>
      </c>
      <c r="G24" s="6" t="str">
        <f>IF(IF(OR(F24="",F24=0),"",IF(ROUND(MIN($V$2*3,$B$35-SUM($J$6:$J23)-SUM($F24:F24)),0)&lt;0,0,ROUND(MIN($V$2*3,$B$35-SUM($J$6:$J23)-SUM($F24:F24)),0)))&gt;0,IF(OR(F24="",F24=0),"",IF(ROUND(MIN($V$2*3,$B$35-SUM($J$6:$J23)-SUM($F24:F24)),0)&lt;0,0,ROUND(MIN($V$2*3,$B$35-SUM($J$6:$J23)-SUM($F24:F24)),0))),0)</f>
        <v/>
      </c>
      <c r="H24" s="6" t="str">
        <f>IF(IF(OR(G24="",G24=0),"",IF(ROUND(MIN($V$2*3,$B$35-SUM($J$6:$J23)-SUM($F24:G24)),0)&lt;0,0,ROUND(MIN($V$2*3,$B$35-SUM($J$6:$J23)-SUM($F24:G24)),0)))&gt;0,IF(OR(G24="",G24=0),"",IF(ROUND(MIN($V$2*3,$B$35-SUM($J$6:$J23)-SUM($F24:G24)),0)&lt;0,0,ROUND(MIN($V$2*3,$B$35-SUM($J$6:$J23)-SUM($F24:G24)),0))),0)</f>
        <v/>
      </c>
      <c r="I24" s="6" t="str">
        <f>IF(IF(OR(H24="",H24=0),"",IF(ROUND(MIN($V$2*3,$B$35-SUM($J$6:$J23)-SUM($F24:H24)),0)&lt;0,0,ROUND(MIN($V$2*3,$B$35-SUM($J$6:$J23)-SUM($F24:H24)),0)))&gt;0,IF(OR(H24="",H24=0),"",IF(ROUND(MIN($V$2*3,$B$35-SUM($J$6:$J23)-SUM($F24:H24)),0)&lt;0,0,ROUND(MIN($V$2*3,$B$35-SUM($J$6:$J23)-SUM($F24:H24)),0))),0)</f>
        <v/>
      </c>
      <c r="J24" s="7" t="str">
        <f t="shared" si="1"/>
        <v/>
      </c>
      <c r="L24" s="18">
        <v>22</v>
      </c>
      <c r="M24" s="19">
        <v>4</v>
      </c>
      <c r="N24" s="19">
        <v>22</v>
      </c>
      <c r="O24" s="20">
        <v>3</v>
      </c>
      <c r="R24" s="5">
        <v>22</v>
      </c>
      <c r="S24" s="21" t="e">
        <f t="shared" si="0"/>
        <v>#VALUE!</v>
      </c>
      <c r="U24" s="31"/>
      <c r="W24" s="137" t="s">
        <v>10</v>
      </c>
      <c r="X24" s="137"/>
      <c r="Y24" s="137"/>
      <c r="Z24" s="137"/>
    </row>
    <row r="25" spans="1:34" x14ac:dyDescent="0.25">
      <c r="A25" s="73" t="s">
        <v>25</v>
      </c>
      <c r="B25" s="80"/>
      <c r="C25" s="74"/>
      <c r="E25" s="5" t="str">
        <f t="shared" si="2"/>
        <v/>
      </c>
      <c r="F25" s="6" t="str">
        <f>IF(IF(OR(I24="",I24=0),"",IF(ROUND(MIN($V$2*3,$B$35-SUM($J$6:$J24)),0)&lt;0,0,ROUND(MIN($V$2*3,$B$35-SUM($J$6:$J24)),0)))&gt;0, IF(OR(I24="",I24=0),"",IF(ROUND(MIN($V$2*3,$B$35-SUM($J$6:$J24)),0)&lt;0,0,ROUND(MIN($V$2*3,$B$35-SUM($J$6:$J24)),0))),0)</f>
        <v/>
      </c>
      <c r="G25" s="6" t="str">
        <f>IF(IF(OR(F25="",F25=0),"",IF(ROUND(MIN($V$2*3,$B$35-SUM($J$6:$J24)-SUM($F25:F25)),0)&lt;0,0,ROUND(MIN($V$2*3,$B$35-SUM($J$6:$J24)-SUM($F25:F25)),0)))&gt;0,IF(OR(F25="",F25=0),"",IF(ROUND(MIN($V$2*3,$B$35-SUM($J$6:$J24)-SUM($F25:F25)),0)&lt;0,0,ROUND(MIN($V$2*3,$B$35-SUM($J$6:$J24)-SUM($F25:F25)),0))),0)</f>
        <v/>
      </c>
      <c r="H25" s="6" t="str">
        <f>IF(IF(OR(G25="",G25=0),"",IF(ROUND(MIN($V$2*3,$B$35-SUM($J$6:$J24)-SUM($F25:G25)),0)&lt;0,0,ROUND(MIN($V$2*3,$B$35-SUM($J$6:$J24)-SUM($F25:G25)),0)))&gt;0,IF(OR(G25="",G25=0),"",IF(ROUND(MIN($V$2*3,$B$35-SUM($J$6:$J24)-SUM($F25:G25)),0)&lt;0,0,ROUND(MIN($V$2*3,$B$35-SUM($J$6:$J24)-SUM($F25:G25)),0))),0)</f>
        <v/>
      </c>
      <c r="I25" s="6" t="str">
        <f>IF(IF(OR(H25="",H25=0),"",IF(ROUND(MIN($V$2*3,$B$35-SUM($J$6:$J24)-SUM($F25:H25)),0)&lt;0,0,ROUND(MIN($V$2*3,$B$35-SUM($J$6:$J24)-SUM($F25:H25)),0)))&gt;0,IF(OR(H25="",H25=0),"",IF(ROUND(MIN($V$2*3,$B$35-SUM($J$6:$J24)-SUM($F25:H25)),0)&lt;0,0,ROUND(MIN($V$2*3,$B$35-SUM($J$6:$J24)-SUM($F25:H25)),0))),0)</f>
        <v/>
      </c>
      <c r="J25" s="7" t="str">
        <f t="shared" si="1"/>
        <v/>
      </c>
      <c r="L25" s="18">
        <v>23</v>
      </c>
      <c r="M25" s="19">
        <v>4</v>
      </c>
      <c r="N25" s="19">
        <v>23</v>
      </c>
      <c r="O25" s="20">
        <v>2</v>
      </c>
      <c r="R25" s="5">
        <v>23</v>
      </c>
      <c r="S25" s="21" t="e">
        <f t="shared" si="0"/>
        <v>#VALUE!</v>
      </c>
      <c r="U25" s="138" t="s">
        <v>2</v>
      </c>
      <c r="V25" s="32"/>
      <c r="W25" s="33">
        <v>2</v>
      </c>
      <c r="X25" s="33">
        <v>5</v>
      </c>
      <c r="Y25" s="33">
        <v>8</v>
      </c>
      <c r="Z25" s="34">
        <v>11</v>
      </c>
    </row>
    <row r="26" spans="1:34" ht="13.8" thickBot="1" x14ac:dyDescent="0.3">
      <c r="A26" s="73" t="s">
        <v>31</v>
      </c>
      <c r="B26" s="81"/>
      <c r="C26" s="74"/>
      <c r="E26" s="5" t="str">
        <f t="shared" si="2"/>
        <v/>
      </c>
      <c r="F26" s="6" t="str">
        <f>IF(IF(OR(I25="",I25=0),"",IF(ROUND(MIN($V$2*3,$B$35-SUM($J$6:$J25)),0)&lt;0,0,ROUND(MIN($V$2*3,$B$35-SUM($J$6:$J25)),0)))&gt;0, IF(OR(I25="",I25=0),"",IF(ROUND(MIN($V$2*3,$B$35-SUM($J$6:$J25)),0)&lt;0,0,ROUND(MIN($V$2*3,$B$35-SUM($J$6:$J25)),0))),0)</f>
        <v/>
      </c>
      <c r="G26" s="6" t="str">
        <f>IF(IF(OR(F26="",F26=0),"",IF(ROUND(MIN($V$2*3,$B$35-SUM($J$6:$J25)-SUM($F26:F26)),0)&lt;0,0,ROUND(MIN($V$2*3,$B$35-SUM($J$6:$J25)-SUM($F26:F26)),0)))&gt;0,IF(OR(F26="",F26=0),"",IF(ROUND(MIN($V$2*3,$B$35-SUM($J$6:$J25)-SUM($F26:F26)),0)&lt;0,0,ROUND(MIN($V$2*3,$B$35-SUM($J$6:$J25)-SUM($F26:F26)),0))),0)</f>
        <v/>
      </c>
      <c r="H26" s="6" t="str">
        <f>IF(IF(OR(G26="",G26=0),"",IF(ROUND(MIN($V$2*3,$B$35-SUM($J$6:$J25)-SUM($F26:G26)),0)&lt;0,0,ROUND(MIN($V$2*3,$B$35-SUM($J$6:$J25)-SUM($F26:G26)),0)))&gt;0,IF(OR(G26="",G26=0),"",IF(ROUND(MIN($V$2*3,$B$35-SUM($J$6:$J25)-SUM($F26:G26)),0)&lt;0,0,ROUND(MIN($V$2*3,$B$35-SUM($J$6:$J25)-SUM($F26:G26)),0))),0)</f>
        <v/>
      </c>
      <c r="I26" s="6" t="str">
        <f>IF(IF(OR(H26="",H26=0),"",IF(ROUND(MIN($V$2*3,$B$35-SUM($J$6:$J25)-SUM($F26:H26)),0)&lt;0,0,ROUND(MIN($V$2*3,$B$35-SUM($J$6:$J25)-SUM($F26:H26)),0)))&gt;0,IF(OR(H26="",H26=0),"",IF(ROUND(MIN($V$2*3,$B$35-SUM($J$6:$J25)-SUM($F26:H26)),0)&lt;0,0,ROUND(MIN($V$2*3,$B$35-SUM($J$6:$J25)-SUM($F26:H26)),0))),0)</f>
        <v/>
      </c>
      <c r="J26" s="7" t="str">
        <f t="shared" si="1"/>
        <v/>
      </c>
      <c r="L26" s="46">
        <v>24</v>
      </c>
      <c r="M26" s="47">
        <v>4</v>
      </c>
      <c r="N26" s="47">
        <v>24</v>
      </c>
      <c r="O26" s="48">
        <v>1</v>
      </c>
      <c r="R26" s="5">
        <v>24</v>
      </c>
      <c r="S26" s="21" t="e">
        <f t="shared" si="0"/>
        <v>#VALUE!</v>
      </c>
      <c r="U26" s="138"/>
      <c r="V26" s="5" t="str">
        <f>TEXT(MONTH(DATE(2013,MONTH(B13)+1,1)),0)</f>
        <v>2</v>
      </c>
      <c r="W26" s="35">
        <f>IF(INDEX($F$6:$I$35,MATCH($B$45,$E$6:$E$35,0),1)="",0,INDEX($F$6:$I$35,MATCH($B$45,$E$6:$E$35,0),1))</f>
        <v>0</v>
      </c>
      <c r="X26" s="35">
        <f>IF(INDEX($F$6:$I$35,MATCH($B$45,$E$6:$E$35,0),1)="",0,INDEX($F$6:$I$35,MATCH($B$45,$E$6:$E$35,0),1))+IF(INDEX($F$6:$I$35,MATCH($B$45,$E$6:$E$35,0),2)="",0,INDEX($F$6:$I$35,MATCH($B$45,$E$6:$E$35,0),2))</f>
        <v>0</v>
      </c>
      <c r="Y26" s="126">
        <f>IF(INDEX($F$6:$I$35,MATCH($B$45,$E$6:$E$35,0),1)="",0,INDEX($F$6:$I$35,MATCH($B$45,$E$6:$E$35,0),1))+IF(INDEX($F$6:$I$35,MATCH($B$45,$E$6:$E$35,0),2)="",0,INDEX($F$6:$I$35,MATCH($B$45,$E$6:$E$35,0),2))+IF(INDEX($F$6:$I$35,MATCH($B$45,$E$6:$E$35,0),3)="",0,INDEX($F$6:$I$35,MATCH($B$45,$E$6:$E$35,0),3))</f>
        <v>0</v>
      </c>
      <c r="Z26" s="36">
        <f>IF(INDEX($F$6:$I$35,MATCH($B$45,$E$6:$E$35,0),1)="",0,INDEX($F$6:$I$35,MATCH($B$45,$E$6:$E$35,0),1))+IF(INDEX($F$6:$I$35,MATCH($B$45,$E$6:$E$35,0),2)="",0,INDEX($F$6:$I$35,MATCH($B$45,$E$6:$E$35,0),2))+IF(INDEX($F$6:$I$35,MATCH($B$45,$E$6:$E$35,0),3)="",0,INDEX($F$6:$I$35,MATCH($B$45,$E$6:$E$35,0),3))+IF(INDEX($F$6:$I$35,MATCH($B$45,$E$6:$E$35,0),4)="",0,INDEX($F$6:$I$35,MATCH($B$45,$E$6:$E$35,0),4))</f>
        <v>0</v>
      </c>
    </row>
    <row r="27" spans="1:34" ht="13.8" thickBot="1" x14ac:dyDescent="0.3">
      <c r="A27" s="73" t="s">
        <v>33</v>
      </c>
      <c r="B27" s="82">
        <f>SUM(B25:B26)</f>
        <v>0</v>
      </c>
      <c r="C27" s="74"/>
      <c r="E27" s="5" t="str">
        <f t="shared" si="2"/>
        <v/>
      </c>
      <c r="F27" s="6" t="str">
        <f>IF(IF(OR(I26="",I26=0),"",IF(ROUND(MIN($V$2*3,$B$35-SUM($J$6:$J26)),0)&lt;0,0,ROUND(MIN($V$2*3,$B$35-SUM($J$6:$J26)),0)))&gt;0, IF(OR(I26="",I26=0),"",IF(ROUND(MIN($V$2*3,$B$35-SUM($J$6:$J26)),0)&lt;0,0,ROUND(MIN($V$2*3,$B$35-SUM($J$6:$J26)),0))),0)</f>
        <v/>
      </c>
      <c r="G27" s="6" t="str">
        <f>IF(IF(OR(F27="",F27=0),"",IF(ROUND(MIN($V$2*3,$B$35-SUM($J$6:$J26)-SUM($F27:F27)),0)&lt;0,0,ROUND(MIN($V$2*3,$B$35-SUM($J$6:$J26)-SUM($F27:F27)),0)))&gt;0,IF(OR(F27="",F27=0),"",IF(ROUND(MIN($V$2*3,$B$35-SUM($J$6:$J26)-SUM($F27:F27)),0)&lt;0,0,ROUND(MIN($V$2*3,$B$35-SUM($J$6:$J26)-SUM($F27:F27)),0))),0)</f>
        <v/>
      </c>
      <c r="H27" s="6" t="str">
        <f>IF(IF(OR(G27="",G27=0),"",IF(ROUND(MIN($V$2*3,$B$35-SUM($J$6:$J26)-SUM($F27:G27)),0)&lt;0,0,ROUND(MIN($V$2*3,$B$35-SUM($J$6:$J26)-SUM($F27:G27)),0)))&gt;0,IF(OR(G27="",G27=0),"",IF(ROUND(MIN($V$2*3,$B$35-SUM($J$6:$J26)-SUM($F27:G27)),0)&lt;0,0,ROUND(MIN($V$2*3,$B$35-SUM($J$6:$J26)-SUM($F27:G27)),0))),0)</f>
        <v/>
      </c>
      <c r="I27" s="6" t="str">
        <f>IF(IF(OR(H27="",H27=0),"",IF(ROUND(MIN($V$2*3,$B$35-SUM($J$6:$J26)-SUM($F27:H27)),0)&lt;0,0,ROUND(MIN($V$2*3,$B$35-SUM($J$6:$J26)-SUM($F27:H27)),0)))&gt;0,IF(OR(H27="",H27=0),"",IF(ROUND(MIN($V$2*3,$B$35-SUM($J$6:$J26)-SUM($F27:H27)),0)&lt;0,0,ROUND(MIN($V$2*3,$B$35-SUM($J$6:$J26)-SUM($F27:H27)),0))),0)</f>
        <v/>
      </c>
      <c r="J27" s="7" t="str">
        <f t="shared" si="1"/>
        <v/>
      </c>
      <c r="R27" s="5">
        <v>25</v>
      </c>
      <c r="S27" s="21" t="e">
        <f t="shared" si="0"/>
        <v>#VALUE!</v>
      </c>
      <c r="U27" s="138"/>
      <c r="V27" s="5" t="str">
        <f>TEXT(MONTH(DATE(2013,MONTH(B13)+4,1)),0)</f>
        <v>5</v>
      </c>
      <c r="W27" s="35">
        <f>IF(INDEX($F$6:$I$35,MATCH($B$45,$E$6:$E$35,0),2)="",0,INDEX($F$6:$I$35,MATCH($B$45,$E$6:$E$35,0),2))</f>
        <v>0</v>
      </c>
      <c r="X27" s="35">
        <f>IF(INDEX($F$6:$I$35,MATCH($B$45,$E$6:$E$35,0),2)="",0,INDEX($F$6:$I$35,MATCH($B$45,$E$6:$E$35,0),2))+IF(INDEX($F$6:$I$35,MATCH($B$45,$E$6:$E$35,0),3)="",0,INDEX($F$6:$I$35,MATCH($B$45,$E$6:$E$35,0),3))</f>
        <v>0</v>
      </c>
      <c r="Y27" s="35">
        <f>IF(INDEX($F$6:$I$35,MATCH($B$45,$E$6:$E$35,0),2)="",0,INDEX($F$6:$I$35,MATCH($B$45,$E$6:$E$35,0),2))+IF(INDEX($F$6:$I$35,MATCH($B$45,$E$6:$E$35,0),3)="",0,INDEX($F$6:$I$35,MATCH($B$45,$E$6:$E$35,0),3))+IF(INDEX($F$6:$I$35,MATCH($B$45,$E$6:$E$35,0),4)="",0,INDEX($F$6:$I$35,MATCH($B$45,$E$6:$E$35,0),4))</f>
        <v>0</v>
      </c>
      <c r="Z27" s="37" t="s">
        <v>8</v>
      </c>
    </row>
    <row r="28" spans="1:34" x14ac:dyDescent="0.25">
      <c r="A28" s="73"/>
      <c r="B28" s="58"/>
      <c r="C28" s="74"/>
      <c r="E28" s="5" t="str">
        <f t="shared" si="2"/>
        <v/>
      </c>
      <c r="F28" s="6" t="str">
        <f>IF(IF(OR(I27="",I27=0),"",IF(ROUND(MIN($V$2*3,$B$35-SUM($J$6:$J27)),0)&lt;0,0,ROUND(MIN($V$2*3,$B$35-SUM($J$6:$J27)),0)))&gt;0, IF(OR(I27="",I27=0),"",IF(ROUND(MIN($V$2*3,$B$35-SUM($J$6:$J27)),0)&lt;0,0,ROUND(MIN($V$2*3,$B$35-SUM($J$6:$J27)),0))),0)</f>
        <v/>
      </c>
      <c r="G28" s="6" t="str">
        <f>IF(IF(OR(F28="",F28=0),"",IF(ROUND(MIN($V$2*3,$B$35-SUM($J$6:$J27)-SUM($F28:F28)),0)&lt;0,0,ROUND(MIN($V$2*3,$B$35-SUM($J$6:$J27)-SUM($F28:F28)),0)))&gt;0,IF(OR(F28="",F28=0),"",IF(ROUND(MIN($V$2*3,$B$35-SUM($J$6:$J27)-SUM($F28:F28)),0)&lt;0,0,ROUND(MIN($V$2*3,$B$35-SUM($J$6:$J27)-SUM($F28:F28)),0))),0)</f>
        <v/>
      </c>
      <c r="H28" s="6" t="str">
        <f>IF(IF(OR(G28="",G28=0),"",IF(ROUND(MIN($V$2*3,$B$35-SUM($J$6:$J27)-SUM($F28:G28)),0)&lt;0,0,ROUND(MIN($V$2*3,$B$35-SUM($J$6:$J27)-SUM($F28:G28)),0)))&gt;0,IF(OR(G28="",G28=0),"",IF(ROUND(MIN($V$2*3,$B$35-SUM($J$6:$J27)-SUM($F28:G28)),0)&lt;0,0,ROUND(MIN($V$2*3,$B$35-SUM($J$6:$J27)-SUM($F28:G28)),0))),0)</f>
        <v/>
      </c>
      <c r="I28" s="6" t="str">
        <f>IF(IF(OR(H28="",H28=0),"",IF(ROUND(MIN($V$2*3,$B$35-SUM($J$6:$J27)-SUM($F28:H28)),0)&lt;0,0,ROUND(MIN($V$2*3,$B$35-SUM($J$6:$J27)-SUM($F28:H28)),0)))&gt;0,IF(OR(H28="",H28=0),"",IF(ROUND(MIN($V$2*3,$B$35-SUM($J$6:$J27)-SUM($F28:H28)),0)&lt;0,0,ROUND(MIN($V$2*3,$B$35-SUM($J$6:$J27)-SUM($F28:H28)),0))),0)</f>
        <v/>
      </c>
      <c r="J28" s="7" t="str">
        <f t="shared" si="1"/>
        <v/>
      </c>
      <c r="L28" s="16" t="s">
        <v>2</v>
      </c>
      <c r="M28" s="49">
        <v>1</v>
      </c>
      <c r="N28" s="49">
        <v>2</v>
      </c>
      <c r="O28" s="49">
        <v>3</v>
      </c>
      <c r="P28" s="26">
        <v>4</v>
      </c>
      <c r="Q28" s="50"/>
      <c r="R28" s="5">
        <v>26</v>
      </c>
      <c r="S28" s="21" t="e">
        <f t="shared" si="0"/>
        <v>#VALUE!</v>
      </c>
      <c r="U28" s="138"/>
      <c r="V28" s="5" t="str">
        <f>TEXT(MONTH(DATE(2013,MONTH(B13)+7,1)),0)</f>
        <v>8</v>
      </c>
      <c r="W28" s="35">
        <f>IF(INDEX($F$6:$I$35,MATCH($B$45,$E$6:$E$35,0),3)="",0,INDEX($F$6:$I$35,MATCH($B$45,$E$6:$E$35,0),3))</f>
        <v>0</v>
      </c>
      <c r="X28" s="35">
        <f>IF(INDEX($F$6:$I$35,MATCH($B$45,$E$6:$E$35,0),3)="",0,INDEX($F$6:$I$35,MATCH($B$45,$E$6:$E$35,0),3))+IF(INDEX($F$6:$I$35,MATCH($B$45,$E$6:$E$35,0),4)="",0,INDEX($F$6:$I$35,MATCH($B$45,$E$6:$E$35,0),4))</f>
        <v>0</v>
      </c>
      <c r="Y28" s="38" t="s">
        <v>8</v>
      </c>
      <c r="Z28" s="37" t="s">
        <v>8</v>
      </c>
    </row>
    <row r="29" spans="1:34" ht="12" customHeight="1" thickBot="1" x14ac:dyDescent="0.3">
      <c r="A29" s="73" t="s">
        <v>32</v>
      </c>
      <c r="B29" s="80"/>
      <c r="C29" s="74"/>
      <c r="E29" s="5" t="str">
        <f t="shared" si="2"/>
        <v/>
      </c>
      <c r="F29" s="6" t="str">
        <f>IF(IF(OR(I28="",I28=0),"",IF(ROUND(MIN($V$2*3,$B$35-SUM($J$6:$J28)),0)&lt;0,0,ROUND(MIN($V$2*3,$B$35-SUM($J$6:$J28)),0)))&gt;0, IF(OR(I28="",I28=0),"",IF(ROUND(MIN($V$2*3,$B$35-SUM($J$6:$J28)),0)&lt;0,0,ROUND(MIN($V$2*3,$B$35-SUM($J$6:$J28)),0))),0)</f>
        <v/>
      </c>
      <c r="G29" s="6" t="str">
        <f>IF(IF(OR(F29="",F29=0),"",IF(ROUND(MIN($V$2*3,$B$35-SUM($J$6:$J28)-SUM($F29:F29)),0)&lt;0,0,ROUND(MIN($V$2*3,$B$35-SUM($J$6:$J28)-SUM($F29:F29)),0)))&gt;0,IF(OR(F29="",F29=0),"",IF(ROUND(MIN($V$2*3,$B$35-SUM($J$6:$J28)-SUM($F29:F29)),0)&lt;0,0,ROUND(MIN($V$2*3,$B$35-SUM($J$6:$J28)-SUM($F29:F29)),0))),0)</f>
        <v/>
      </c>
      <c r="H29" s="6" t="str">
        <f>IF(IF(OR(G29="",G29=0),"",IF(ROUND(MIN($V$2*3,$B$35-SUM($J$6:$J28)-SUM($F29:G29)),0)&lt;0,0,ROUND(MIN($V$2*3,$B$35-SUM($J$6:$J28)-SUM($F29:G29)),0)))&gt;0,IF(OR(G29="",G29=0),"",IF(ROUND(MIN($V$2*3,$B$35-SUM($J$6:$J28)-SUM($F29:G29)),0)&lt;0,0,ROUND(MIN($V$2*3,$B$35-SUM($J$6:$J28)-SUM($F29:G29)),0))),0)</f>
        <v/>
      </c>
      <c r="I29" s="6" t="str">
        <f>IF(IF(OR(H29="",H29=0),"",IF(ROUND(MIN($V$2*3,$B$35-SUM($J$6:$J28)-SUM($F29:H29)),0)&lt;0,0,ROUND(MIN($V$2*3,$B$35-SUM($J$6:$J28)-SUM($F29:H29)),0)))&gt;0,IF(OR(H29="",H29=0),"",IF(ROUND(MIN($V$2*3,$B$35-SUM($J$6:$J28)-SUM($F29:H29)),0)&lt;0,0,ROUND(MIN($V$2*3,$B$35-SUM($J$6:$J28)-SUM($F29:H29)),0))),0)</f>
        <v/>
      </c>
      <c r="J29" s="7" t="str">
        <f t="shared" si="1"/>
        <v/>
      </c>
      <c r="L29" s="24" t="s">
        <v>5</v>
      </c>
      <c r="M29" s="51" t="e">
        <f>IF($V$8&lt;&gt;M28,"",LOOKUP($V$7,$N$3:$N$26,$O$3:$O$26))</f>
        <v>#N/A</v>
      </c>
      <c r="N29" s="51" t="e">
        <f>IF($V$8&lt;&gt;N28,"",LOOKUP($V$7,$N$3:$N$26,$O$3:$O$26))</f>
        <v>#N/A</v>
      </c>
      <c r="O29" s="51" t="e">
        <f>IF($V$8&lt;&gt;O28,"",LOOKUP($V$7,$N$3:$N$26,$O$3:$O$26))</f>
        <v>#N/A</v>
      </c>
      <c r="P29" s="52" t="e">
        <f>IF($V$8&lt;&gt;P28,"",LOOKUP($V$7,$N$3:$N$26,$O$3:$O$26))</f>
        <v>#N/A</v>
      </c>
      <c r="Q29" s="27"/>
      <c r="R29" s="5">
        <v>27</v>
      </c>
      <c r="S29" s="21" t="e">
        <f t="shared" si="0"/>
        <v>#VALUE!</v>
      </c>
      <c r="U29" s="138"/>
      <c r="V29" s="10" t="str">
        <f>TEXT(MONTH(DATE(2013,MONTH(B13)+10,1)),0)</f>
        <v>11</v>
      </c>
      <c r="W29" s="39">
        <f>IF(INDEX($F$6:$I$35,MATCH($B$45,$E$6:$E$35,0),4)="",0,INDEX($F$6:$I$35,MATCH($B$45,$E$6:$E$35,0),4))</f>
        <v>0</v>
      </c>
      <c r="X29" s="40" t="s">
        <v>8</v>
      </c>
      <c r="Y29" s="40" t="s">
        <v>8</v>
      </c>
      <c r="Z29" s="41" t="s">
        <v>8</v>
      </c>
    </row>
    <row r="30" spans="1:34" ht="12" customHeight="1" thickBot="1" x14ac:dyDescent="0.3">
      <c r="A30" s="73" t="s">
        <v>18</v>
      </c>
      <c r="B30" s="79"/>
      <c r="C30" s="74"/>
      <c r="E30" s="5" t="str">
        <f t="shared" si="2"/>
        <v/>
      </c>
      <c r="F30" s="6" t="str">
        <f>IF(IF(OR(I29="",I29=0),"",IF(ROUND(MIN($V$2*3,$B$35-SUM($J$6:$J29)),0)&lt;0,0,ROUND(MIN($V$2*3,$B$35-SUM($J$6:$J29)),0)))&gt;0, IF(OR(I29="",I29=0),"",IF(ROUND(MIN($V$2*3,$B$35-SUM($J$6:$J29)),0)&lt;0,0,ROUND(MIN($V$2*3,$B$35-SUM($J$6:$J29)),0))),0)</f>
        <v/>
      </c>
      <c r="G30" s="6" t="str">
        <f>IF(IF(OR(F30="",F30=0),"",IF(ROUND(MIN($V$2*3,$B$35-SUM($J$6:$J29)-SUM($F30:F30)),0)&lt;0,0,ROUND(MIN($V$2*3,$B$35-SUM($J$6:$J29)-SUM($F30:F30)),0)))&gt;0,IF(OR(F30="",F30=0),"",IF(ROUND(MIN($V$2*3,$B$35-SUM($J$6:$J29)-SUM($F30:F30)),0)&lt;0,0,ROUND(MIN($V$2*3,$B$35-SUM($J$6:$J29)-SUM($F30:F30)),0))),0)</f>
        <v/>
      </c>
      <c r="H30" s="6" t="str">
        <f>IF(IF(OR(G30="",G30=0),"",IF(ROUND(MIN($V$2*3,$B$35-SUM($J$6:$J29)-SUM($F30:G30)),0)&lt;0,0,ROUND(MIN($V$2*3,$B$35-SUM($J$6:$J29)-SUM($F30:G30)),0)))&gt;0,IF(OR(G30="",G30=0),"",IF(ROUND(MIN($V$2*3,$B$35-SUM($J$6:$J29)-SUM($F30:G30)),0)&lt;0,0,ROUND(MIN($V$2*3,$B$35-SUM($J$6:$J29)-SUM($F30:G30)),0))),0)</f>
        <v/>
      </c>
      <c r="I30" s="6" t="str">
        <f>IF(IF(OR(H30="",H30=0),"",IF(ROUND(MIN($V$2*3,$B$35-SUM($J$6:$J29)-SUM($F30:H30)),0)&lt;0,0,ROUND(MIN($V$2*3,$B$35-SUM($J$6:$J29)-SUM($F30:H30)),0)))&gt;0,IF(OR(H30="",H30=0),"",IF(ROUND(MIN($V$2*3,$B$35-SUM($J$6:$J29)-SUM($F30:H30)),0)&lt;0,0,ROUND(MIN($V$2*3,$B$35-SUM($J$6:$J29)-SUM($F30:H30)),0))),0)</f>
        <v/>
      </c>
      <c r="J30" s="7" t="str">
        <f t="shared" si="1"/>
        <v/>
      </c>
      <c r="R30" s="5">
        <v>28</v>
      </c>
      <c r="S30" s="21" t="e">
        <f t="shared" si="0"/>
        <v>#VALUE!</v>
      </c>
    </row>
    <row r="31" spans="1:34" x14ac:dyDescent="0.25">
      <c r="A31" s="73"/>
      <c r="B31" s="58"/>
      <c r="C31" s="74"/>
      <c r="E31" s="5" t="str">
        <f t="shared" si="2"/>
        <v/>
      </c>
      <c r="F31" s="6" t="str">
        <f>IF(IF(OR(I30="",I30=0),"",IF(ROUND(MIN($V$2*3,$B$35-SUM($J$6:$J30)),0)&lt;0,0,ROUND(MIN($V$2*3,$B$35-SUM($J$6:$J30)),0)))&gt;0, IF(OR(I30="",I30=0),"",IF(ROUND(MIN($V$2*3,$B$35-SUM($J$6:$J30)),0)&lt;0,0,ROUND(MIN($V$2*3,$B$35-SUM($J$6:$J30)),0))),0)</f>
        <v/>
      </c>
      <c r="G31" s="6" t="str">
        <f>IF(IF(OR(F31="",F31=0),"",IF(ROUND(MIN($V$2*3,$B$35-SUM($J$6:$J30)-SUM($F31:F31)),0)&lt;0,0,ROUND(MIN($V$2*3,$B$35-SUM($J$6:$J30)-SUM($F31:F31)),0)))&gt;0,IF(OR(F31="",F31=0),"",IF(ROUND(MIN($V$2*3,$B$35-SUM($J$6:$J30)-SUM($F31:F31)),0)&lt;0,0,ROUND(MIN($V$2*3,$B$35-SUM($J$6:$J30)-SUM($F31:F31)),0))),0)</f>
        <v/>
      </c>
      <c r="H31" s="6" t="str">
        <f>IF(IF(OR(G31="",G31=0),"",IF(ROUND(MIN($V$2*3,$B$35-SUM($J$6:$J30)-SUM($F31:G31)),0)&lt;0,0,ROUND(MIN($V$2*3,$B$35-SUM($J$6:$J30)-SUM($F31:G31)),0)))&gt;0,IF(OR(G31="",G31=0),"",IF(ROUND(MIN($V$2*3,$B$35-SUM($J$6:$J30)-SUM($F31:G31)),0)&lt;0,0,ROUND(MIN($V$2*3,$B$35-SUM($J$6:$J30)-SUM($F31:G31)),0))),0)</f>
        <v/>
      </c>
      <c r="I31" s="6" t="str">
        <f>IF(IF(OR(H31="",H31=0),"",IF(ROUND(MIN($V$2*3,$B$35-SUM($J$6:$J30)-SUM($F31:H31)),0)&lt;0,0,ROUND(MIN($V$2*3,$B$35-SUM($J$6:$J30)-SUM($F31:H31)),0)))&gt;0,IF(OR(H31="",H31=0),"",IF(ROUND(MIN($V$2*3,$B$35-SUM($J$6:$J30)-SUM($F31:H31)),0)&lt;0,0,ROUND(MIN($V$2*3,$B$35-SUM($J$6:$J30)-SUM($F31:H31)),0))),0)</f>
        <v/>
      </c>
      <c r="J31" s="7" t="str">
        <f t="shared" si="1"/>
        <v/>
      </c>
      <c r="R31" s="5">
        <v>29</v>
      </c>
      <c r="S31" s="21" t="e">
        <f t="shared" si="0"/>
        <v>#VALUE!</v>
      </c>
      <c r="V31" s="32"/>
      <c r="W31" s="42">
        <v>41305</v>
      </c>
      <c r="X31" s="42">
        <v>41333</v>
      </c>
      <c r="Y31" s="42">
        <v>41364</v>
      </c>
      <c r="Z31" s="42">
        <v>41394</v>
      </c>
      <c r="AA31" s="42">
        <v>41425</v>
      </c>
      <c r="AB31" s="42">
        <v>41455</v>
      </c>
      <c r="AC31" s="42">
        <v>41486</v>
      </c>
      <c r="AD31" s="42">
        <v>41517</v>
      </c>
      <c r="AE31" s="42">
        <v>41547</v>
      </c>
      <c r="AF31" s="42">
        <v>41578</v>
      </c>
      <c r="AG31" s="42">
        <v>41608</v>
      </c>
      <c r="AH31" s="43">
        <v>41639</v>
      </c>
    </row>
    <row r="32" spans="1:34" x14ac:dyDescent="0.25">
      <c r="A32" s="128" t="s">
        <v>91</v>
      </c>
      <c r="B32" s="81"/>
      <c r="C32" s="74"/>
      <c r="E32" s="5" t="str">
        <f t="shared" si="2"/>
        <v/>
      </c>
      <c r="F32" s="6" t="str">
        <f>IF(IF(OR(I31="",I31=0),"",IF(ROUND(MIN($V$2*3,$B$35-SUM($J$6:$J31)),0)&lt;0,0,ROUND(MIN($V$2*3,$B$35-SUM($J$6:$J31)),0)))&gt;0, IF(OR(I31="",I31=0),"",IF(ROUND(MIN($V$2*3,$B$35-SUM($J$6:$J31)),0)&lt;0,0,ROUND(MIN($V$2*3,$B$35-SUM($J$6:$J31)),0))),0)</f>
        <v/>
      </c>
      <c r="G32" s="6" t="str">
        <f>IF(IF(OR(F32="",F32=0),"",IF(ROUND(MIN($V$2*3,$B$35-SUM($J$6:$J31)-SUM($F32:F32)),0)&lt;0,0,ROUND(MIN($V$2*3,$B$35-SUM($J$6:$J31)-SUM($F32:F32)),0)))&gt;0,IF(OR(F32="",F32=0),"",IF(ROUND(MIN($V$2*3,$B$35-SUM($J$6:$J31)-SUM($F32:F32)),0)&lt;0,0,ROUND(MIN($V$2*3,$B$35-SUM($J$6:$J31)-SUM($F32:F32)),0))),0)</f>
        <v/>
      </c>
      <c r="H32" s="6" t="str">
        <f>IF(IF(OR(G32="",G32=0),"",IF(ROUND(MIN($V$2*3,$B$35-SUM($J$6:$J31)-SUM($F32:G32)),0)&lt;0,0,ROUND(MIN($V$2*3,$B$35-SUM($J$6:$J31)-SUM($F32:G32)),0)))&gt;0,IF(OR(G32="",G32=0),"",IF(ROUND(MIN($V$2*3,$B$35-SUM($J$6:$J31)-SUM($F32:G32)),0)&lt;0,0,ROUND(MIN($V$2*3,$B$35-SUM($J$6:$J31)-SUM($F32:G32)),0))),0)</f>
        <v/>
      </c>
      <c r="I32" s="6" t="str">
        <f>IF(IF(OR(H32="",H32=0),"",IF(ROUND(MIN($V$2*3,$B$35-SUM($J$6:$J31)-SUM($F32:H32)),0)&lt;0,0,ROUND(MIN($V$2*3,$B$35-SUM($J$6:$J31)-SUM($F32:H32)),0)))&gt;0,IF(OR(H32="",H32=0),"",IF(ROUND(MIN($V$2*3,$B$35-SUM($J$6:$J31)-SUM($F32:H32)),0)&lt;0,0,ROUND(MIN($V$2*3,$B$35-SUM($J$6:$J31)-SUM($F32:H32)),0))),0)</f>
        <v/>
      </c>
      <c r="J32" s="7" t="str">
        <f t="shared" si="1"/>
        <v/>
      </c>
      <c r="R32" s="5">
        <v>30</v>
      </c>
      <c r="S32" s="21" t="e">
        <f t="shared" si="0"/>
        <v>#VALUE!</v>
      </c>
      <c r="V32" s="44">
        <v>1</v>
      </c>
      <c r="W32" s="38">
        <v>1</v>
      </c>
      <c r="X32" s="38">
        <v>1</v>
      </c>
      <c r="Y32" s="38">
        <v>1</v>
      </c>
      <c r="Z32" s="38">
        <v>1</v>
      </c>
      <c r="AA32" s="38">
        <v>1</v>
      </c>
      <c r="AB32" s="38">
        <v>1</v>
      </c>
      <c r="AC32" s="38">
        <v>1</v>
      </c>
      <c r="AD32" s="38">
        <v>1</v>
      </c>
      <c r="AE32" s="38">
        <v>1</v>
      </c>
      <c r="AF32" s="38">
        <v>1</v>
      </c>
      <c r="AG32" s="38">
        <v>1</v>
      </c>
      <c r="AH32" s="37">
        <v>1</v>
      </c>
    </row>
    <row r="33" spans="1:34" ht="13.8" thickBot="1" x14ac:dyDescent="0.3">
      <c r="A33" s="73" t="s">
        <v>19</v>
      </c>
      <c r="B33" s="80"/>
      <c r="C33" s="74"/>
      <c r="E33" s="5" t="str">
        <f t="shared" si="2"/>
        <v/>
      </c>
      <c r="F33" s="6" t="str">
        <f>IF(IF(OR(I32="",I32=0),"",IF(ROUND(MIN($V$2*3,$B$35-SUM($J$6:$J32)),0)&lt;0,0,ROUND(MIN($V$2*3,$B$35-SUM($J$6:$J32)),0)))&gt;0, IF(OR(I32="",I32=0),"",IF(ROUND(MIN($V$2*3,$B$35-SUM($J$6:$J32)),0)&lt;0,0,ROUND(MIN($V$2*3,$B$35-SUM($J$6:$J32)),0))),0)</f>
        <v/>
      </c>
      <c r="G33" s="6" t="str">
        <f>IF(IF(OR(F33="",F33=0),"",IF(ROUND(MIN($V$2*3,$B$35-SUM($J$6:$J32)-SUM($F33:F33)),0)&lt;0,0,ROUND(MIN($V$2*3,$B$35-SUM($J$6:$J32)-SUM($F33:F33)),0)))&gt;0,IF(OR(F33="",F33=0),"",IF(ROUND(MIN($V$2*3,$B$35-SUM($J$6:$J32)-SUM($F33:F33)),0)&lt;0,0,ROUND(MIN($V$2*3,$B$35-SUM($J$6:$J32)-SUM($F33:F33)),0))),0)</f>
        <v/>
      </c>
      <c r="H33" s="6" t="str">
        <f>IF(IF(OR(G33="",G33=0),"",IF(ROUND(MIN($V$2*3,$B$35-SUM($J$6:$J32)-SUM($F33:G33)),0)&lt;0,0,ROUND(MIN($V$2*3,$B$35-SUM($J$6:$J32)-SUM($F33:G33)),0)))&gt;0,IF(OR(G33="",G33=0),"",IF(ROUND(MIN($V$2*3,$B$35-SUM($J$6:$J32)-SUM($F33:G33)),0)&lt;0,0,ROUND(MIN($V$2*3,$B$35-SUM($J$6:$J32)-SUM($F33:G33)),0))),0)</f>
        <v/>
      </c>
      <c r="I33" s="6" t="str">
        <f>IF(IF(OR(H33="",H33=0),"",IF(ROUND(MIN($V$2*3,$B$35-SUM($J$6:$J32)-SUM($F33:H33)),0)&lt;0,0,ROUND(MIN($V$2*3,$B$35-SUM($J$6:$J32)-SUM($F33:H33)),0)))&gt;0,IF(OR(H33="",H33=0),"",IF(ROUND(MIN($V$2*3,$B$35-SUM($J$6:$J32)-SUM($F33:H33)),0)&lt;0,0,ROUND(MIN($V$2*3,$B$35-SUM($J$6:$J32)-SUM($F33:H33)),0))),0)</f>
        <v/>
      </c>
      <c r="J33" s="7" t="str">
        <f t="shared" si="1"/>
        <v/>
      </c>
      <c r="R33" s="46">
        <v>31</v>
      </c>
      <c r="S33" s="48" t="e">
        <f t="shared" si="0"/>
        <v>#VALUE!</v>
      </c>
      <c r="V33" s="44">
        <v>2</v>
      </c>
      <c r="W33" s="38">
        <v>2</v>
      </c>
      <c r="X33" s="38">
        <v>1</v>
      </c>
      <c r="Y33" s="38">
        <v>1</v>
      </c>
      <c r="Z33" s="38">
        <v>1</v>
      </c>
      <c r="AA33" s="38">
        <v>1</v>
      </c>
      <c r="AB33" s="38">
        <v>1</v>
      </c>
      <c r="AC33" s="38">
        <v>1</v>
      </c>
      <c r="AD33" s="38">
        <v>1</v>
      </c>
      <c r="AE33" s="38">
        <v>1</v>
      </c>
      <c r="AF33" s="38">
        <v>1</v>
      </c>
      <c r="AG33" s="38">
        <v>1</v>
      </c>
      <c r="AH33" s="37">
        <v>1</v>
      </c>
    </row>
    <row r="34" spans="1:34" ht="13.8" thickBot="1" x14ac:dyDescent="0.3">
      <c r="A34" s="73"/>
      <c r="B34" s="83"/>
      <c r="C34" s="74"/>
      <c r="E34" s="5" t="str">
        <f t="shared" si="2"/>
        <v/>
      </c>
      <c r="F34" s="6" t="str">
        <f>IF(IF(OR(I33="",I33=0),"",IF(ROUND(MIN($V$2*3,$B$35-SUM($J$6:$J33)),0)&lt;0,0,ROUND(MIN($V$2*3,$B$35-SUM($J$6:$J33)),0)))&gt;0, IF(OR(I33="",I33=0),"",IF(ROUND(MIN($V$2*3,$B$35-SUM($J$6:$J33)),0)&lt;0,0,ROUND(MIN($V$2*3,$B$35-SUM($J$6:$J33)),0))),0)</f>
        <v/>
      </c>
      <c r="G34" s="6" t="str">
        <f>IF(IF(OR(F34="",F34=0),"",IF(ROUND(MIN($V$2*3,$B$35-SUM($J$6:$J33)-SUM($F34:F34)),0)&lt;0,0,ROUND(MIN($V$2*3,$B$35-SUM($J$6:$J33)-SUM($F34:F34)),0)))&gt;0,IF(OR(F34="",F34=0),"",IF(ROUND(MIN($V$2*3,$B$35-SUM($J$6:$J33)-SUM($F34:F34)),0)&lt;0,0,ROUND(MIN($V$2*3,$B$35-SUM($J$6:$J33)-SUM($F34:F34)),0))),0)</f>
        <v/>
      </c>
      <c r="H34" s="6" t="str">
        <f>IF(IF(OR(G34="",G34=0),"",IF(ROUND(MIN($V$2*3,$B$35-SUM($J$6:$J33)-SUM($F34:G34)),0)&lt;0,0,ROUND(MIN($V$2*3,$B$35-SUM($J$6:$J33)-SUM($F34:G34)),0)))&gt;0,IF(OR(G34="",G34=0),"",IF(ROUND(MIN($V$2*3,$B$35-SUM($J$6:$J33)-SUM($F34:G34)),0)&lt;0,0,ROUND(MIN($V$2*3,$B$35-SUM($J$6:$J33)-SUM($F34:G34)),0))),0)</f>
        <v/>
      </c>
      <c r="I34" s="6" t="str">
        <f>IF(IF(OR(H34="",H34=0),"",IF(ROUND(MIN($V$2*3,$B$35-SUM($J$6:$J33)-SUM($F34:H34)),0)&lt;0,0,ROUND(MIN($V$2*3,$B$35-SUM($J$6:$J33)-SUM($F34:H34)),0)))&gt;0,IF(OR(H34="",H34=0),"",IF(ROUND(MIN($V$2*3,$B$35-SUM($J$6:$J33)-SUM($F34:H34)),0)&lt;0,0,ROUND(MIN($V$2*3,$B$35-SUM($J$6:$J33)-SUM($F34:H34)),0))),0)</f>
        <v/>
      </c>
      <c r="J34" s="7" t="str">
        <f t="shared" si="1"/>
        <v/>
      </c>
      <c r="V34" s="44">
        <v>3</v>
      </c>
      <c r="W34" s="38">
        <v>2</v>
      </c>
      <c r="X34" s="38">
        <v>2</v>
      </c>
      <c r="Y34" s="38">
        <v>1</v>
      </c>
      <c r="Z34" s="38">
        <v>1</v>
      </c>
      <c r="AA34" s="38">
        <v>1</v>
      </c>
      <c r="AB34" s="38">
        <v>1</v>
      </c>
      <c r="AC34" s="38">
        <v>1</v>
      </c>
      <c r="AD34" s="38">
        <v>1</v>
      </c>
      <c r="AE34" s="38">
        <v>1</v>
      </c>
      <c r="AF34" s="38">
        <v>1</v>
      </c>
      <c r="AG34" s="38">
        <v>1</v>
      </c>
      <c r="AH34" s="37">
        <v>1</v>
      </c>
    </row>
    <row r="35" spans="1:34" x14ac:dyDescent="0.25">
      <c r="A35" s="73" t="s">
        <v>20</v>
      </c>
      <c r="B35" s="108">
        <f>IF(MIN(IF(B14="Y",B25-B32,B27-B32),100000-B33-B34)&lt;0,0,MIN(IF(B14="Y",B25-B32,B27-B32),100000-B33-B34))</f>
        <v>0</v>
      </c>
      <c r="C35" s="74"/>
      <c r="E35" s="5" t="str">
        <f t="shared" si="2"/>
        <v/>
      </c>
      <c r="F35" s="6" t="str">
        <f>IF(IF(OR(I34="",I34=0),"",IF(ROUND(MIN($V$2*3,$B$35-SUM($J$6:$J34)),0)&lt;0,0,ROUND(MIN($V$2*3,$B$35-SUM($J$6:$J34)),0)))&gt;0, IF(OR(I34="",I34=0),"",IF(ROUND(MIN($V$2*3,$B$35-SUM($J$6:$J34)),0)&lt;0,0,ROUND(MIN($V$2*3,$B$35-SUM($J$6:$J34)),0))),0)</f>
        <v/>
      </c>
      <c r="G35" s="6" t="str">
        <f>IF(IF(OR(F35="",F35=0),"",IF(ROUND(MIN($V$2*3,$B$35-SUM($J$6:$J34)-SUM($F35:F35)),0)&lt;0,0,ROUND(MIN($V$2*3,$B$35-SUM($J$6:$J34)-SUM($F35:F35)),0)))&gt;0,IF(OR(F35="",F35=0),"",IF(ROUND(MIN($V$2*3,$B$35-SUM($J$6:$J34)-SUM($F35:F35)),0)&lt;0,0,ROUND(MIN($V$2*3,$B$35-SUM($J$6:$J34)-SUM($F35:F35)),0))),0)</f>
        <v/>
      </c>
      <c r="H35" s="6" t="str">
        <f>IF(IF(OR(G35="",G35=0),"",IF(ROUND(MIN($V$2*3,$B$35-SUM($J$6:$J34)-SUM($F35:G35)),0)&lt;0,0,ROUND(MIN($V$2*3,$B$35-SUM($J$6:$J34)-SUM($F35:G35)),0)))&gt;0,IF(OR(G35="",G35=0),"",IF(ROUND(MIN($V$2*3,$B$35-SUM($J$6:$J34)-SUM($F35:G35)),0)&lt;0,0,ROUND(MIN($V$2*3,$B$35-SUM($J$6:$J34)-SUM($F35:G35)),0))),0)</f>
        <v/>
      </c>
      <c r="I35" s="6" t="str">
        <f>IF(IF(OR(H35="",H35=0),"",IF(ROUND(MIN($V$2*3,$B$35-SUM($J$6:$J34)-SUM($F35:H35)),0)&lt;0,0,ROUND(MIN($V$2*3,$B$35-SUM($J$6:$J34)-SUM($F35:H35)),0)))&gt;0,IF(OR(H35="",H35=0),"",IF(ROUND(MIN($V$2*3,$B$35-SUM($J$6:$J34)-SUM($F35:H35)),0)&lt;0,0,ROUND(MIN($V$2*3,$B$35-SUM($J$6:$J34)-SUM($F35:H35)),0))),0)</f>
        <v/>
      </c>
      <c r="J35" s="9" t="str">
        <f t="shared" si="1"/>
        <v/>
      </c>
      <c r="R35" s="100" t="s">
        <v>11</v>
      </c>
      <c r="V35" s="44">
        <v>4</v>
      </c>
      <c r="W35" s="38">
        <v>2</v>
      </c>
      <c r="X35" s="38">
        <v>2</v>
      </c>
      <c r="Y35" s="38">
        <v>2</v>
      </c>
      <c r="Z35" s="38">
        <v>1</v>
      </c>
      <c r="AA35" s="38">
        <v>1</v>
      </c>
      <c r="AB35" s="38">
        <v>1</v>
      </c>
      <c r="AC35" s="38">
        <v>1</v>
      </c>
      <c r="AD35" s="38">
        <v>1</v>
      </c>
      <c r="AE35" s="38">
        <v>1</v>
      </c>
      <c r="AF35" s="38">
        <v>1</v>
      </c>
      <c r="AG35" s="38">
        <v>1</v>
      </c>
      <c r="AH35" s="37">
        <v>1</v>
      </c>
    </row>
    <row r="36" spans="1:34" ht="13.8" thickBot="1" x14ac:dyDescent="0.3">
      <c r="A36" s="96"/>
      <c r="B36" s="83"/>
      <c r="C36" s="74"/>
      <c r="E36" s="10" t="str">
        <f t="shared" si="2"/>
        <v/>
      </c>
      <c r="F36" s="125" t="str">
        <f>IF(IF(OR(I35="",I35=0),"",IF(ROUND(MIN($V$2*3,$B$35-SUM($J$6:$J35)),0)&lt;0,0,ROUND(MIN($V$2*3,$B$35-SUM($J$6:$J35)),0)))&gt;0, IF(OR(I35="",I35=0),"",IF(ROUND(MIN($V$2*3,$B$35-SUM($J$6:$J35)),0)&lt;0,0,ROUND(MIN($V$2*3,$B$35-SUM($J$6:$J35)),0))),0)</f>
        <v/>
      </c>
      <c r="G36" s="125" t="str">
        <f>IF(IF(OR(F36="",F36=0),"",IF(ROUND(MIN($V$2*3,$B$35-SUM($J$6:$J35)-SUM($F36:F36)),0)&lt;0,0,ROUND(MIN($V$2*3,$B$35-SUM($J$6:$J35)-SUM($F36:F36)),0)))&gt;0,IF(OR(F36="",F36=0),"",IF(ROUND(MIN($V$2*3,$B$35-SUM($J$6:$J35)-SUM($F36:F36)),0)&lt;0,0,ROUND(MIN($V$2*3,$B$35-SUM($J$6:$J35)-SUM($F36:F36)),0))),0)</f>
        <v/>
      </c>
      <c r="H36" s="125" t="str">
        <f>IF(IF(OR(G36="",G36=0),"",IF(ROUND(MIN($V$2*3,$B$35-SUM($J$6:$J35)-SUM($F36:G36)),0)&lt;0,0,ROUND(MIN($V$2*3,$B$35-SUM($J$6:$J35)-SUM($F36:G36)),0)))&gt;0,IF(OR(G36="",G36=0),"",IF(ROUND(MIN($V$2*3,$B$35-SUM($J$6:$J35)-SUM($F36:G36)),0)&lt;0,0,ROUND(MIN($V$2*3,$B$35-SUM($J$6:$J35)-SUM($F36:G36)),0))),0)</f>
        <v/>
      </c>
      <c r="I36" s="125" t="str">
        <f>IF(IF(OR(H36="",H36=0),"",IF(ROUND(MIN($V$2*3,$B$35-SUM($J$6:$J35)-SUM($F36:H36)),0)&lt;0,0,ROUND(MIN($V$2*3,$B$35-SUM($J$6:$J35)-SUM($F36:H36)),0)))&gt;0,IF(OR(H36="",H36=0),"",IF(ROUND(MIN($V$2*3,$B$35-SUM($J$6:$J35)-SUM($F36:H36)),0)&lt;0,0,ROUND(MIN($V$2*3,$B$35-SUM($J$6:$J35)-SUM($F36:H36)),0))),0)</f>
        <v/>
      </c>
      <c r="J36" s="11" t="str">
        <f>IF(E36="","",SUM(F36:I36))</f>
        <v/>
      </c>
      <c r="R36" s="101">
        <v>41305</v>
      </c>
      <c r="U36" s="45"/>
      <c r="V36" s="44">
        <v>5</v>
      </c>
      <c r="W36" s="38">
        <v>2</v>
      </c>
      <c r="X36" s="38">
        <v>2</v>
      </c>
      <c r="Y36" s="38">
        <v>2</v>
      </c>
      <c r="Z36" s="38">
        <v>2</v>
      </c>
      <c r="AA36" s="38">
        <v>1</v>
      </c>
      <c r="AB36" s="38">
        <v>1</v>
      </c>
      <c r="AC36" s="38">
        <v>1</v>
      </c>
      <c r="AD36" s="38">
        <v>1</v>
      </c>
      <c r="AE36" s="38">
        <v>1</v>
      </c>
      <c r="AF36" s="38">
        <v>1</v>
      </c>
      <c r="AG36" s="38">
        <v>1</v>
      </c>
      <c r="AH36" s="37">
        <v>1</v>
      </c>
    </row>
    <row r="37" spans="1:34" ht="13.8" thickBot="1" x14ac:dyDescent="0.3">
      <c r="A37" s="73"/>
      <c r="B37" s="58"/>
      <c r="C37" s="74"/>
      <c r="E37" s="12"/>
      <c r="F37" s="13"/>
      <c r="G37" s="13"/>
      <c r="H37" s="13"/>
      <c r="I37" s="14" t="s">
        <v>1</v>
      </c>
      <c r="J37" s="15">
        <f>SUM(J6:J35)</f>
        <v>0</v>
      </c>
      <c r="R37" s="101">
        <v>41333</v>
      </c>
      <c r="V37" s="44">
        <v>6</v>
      </c>
      <c r="W37" s="38">
        <v>2</v>
      </c>
      <c r="X37" s="38">
        <v>2</v>
      </c>
      <c r="Y37" s="38">
        <v>2</v>
      </c>
      <c r="Z37" s="38">
        <v>2</v>
      </c>
      <c r="AA37" s="38">
        <v>2</v>
      </c>
      <c r="AB37" s="38">
        <v>1</v>
      </c>
      <c r="AC37" s="38">
        <v>1</v>
      </c>
      <c r="AD37" s="38">
        <v>1</v>
      </c>
      <c r="AE37" s="38">
        <v>1</v>
      </c>
      <c r="AF37" s="38">
        <v>1</v>
      </c>
      <c r="AG37" s="38">
        <v>1</v>
      </c>
      <c r="AH37" s="37">
        <v>1</v>
      </c>
    </row>
    <row r="38" spans="1:34" ht="13.8" thickBot="1" x14ac:dyDescent="0.3">
      <c r="A38" s="70" t="s">
        <v>23</v>
      </c>
      <c r="B38" s="95"/>
      <c r="C38" s="72"/>
      <c r="E38" s="111" t="s">
        <v>66</v>
      </c>
      <c r="R38" s="101">
        <v>41364</v>
      </c>
      <c r="V38" s="44">
        <v>7</v>
      </c>
      <c r="W38" s="38">
        <v>2</v>
      </c>
      <c r="X38" s="38">
        <v>2</v>
      </c>
      <c r="Y38" s="38">
        <v>2</v>
      </c>
      <c r="Z38" s="38">
        <v>2</v>
      </c>
      <c r="AA38" s="38">
        <v>2</v>
      </c>
      <c r="AB38" s="38">
        <v>2</v>
      </c>
      <c r="AC38" s="38">
        <v>1</v>
      </c>
      <c r="AD38" s="38">
        <v>1</v>
      </c>
      <c r="AE38" s="38">
        <v>1</v>
      </c>
      <c r="AF38" s="38">
        <v>1</v>
      </c>
      <c r="AG38" s="38">
        <v>1</v>
      </c>
      <c r="AH38" s="37">
        <v>1</v>
      </c>
    </row>
    <row r="39" spans="1:34" ht="12" customHeight="1" x14ac:dyDescent="0.25">
      <c r="A39" s="84"/>
      <c r="B39" s="58"/>
      <c r="C39" s="74"/>
      <c r="E39" s="63"/>
      <c r="F39" s="57"/>
      <c r="G39" s="57"/>
      <c r="H39" s="57"/>
      <c r="I39" s="57"/>
      <c r="J39" s="57"/>
      <c r="R39" s="101">
        <v>41394</v>
      </c>
      <c r="V39" s="44">
        <v>8</v>
      </c>
      <c r="W39" s="38">
        <v>2</v>
      </c>
      <c r="X39" s="38">
        <v>2</v>
      </c>
      <c r="Y39" s="38">
        <v>2</v>
      </c>
      <c r="Z39" s="38">
        <v>2</v>
      </c>
      <c r="AA39" s="38">
        <v>2</v>
      </c>
      <c r="AB39" s="38">
        <v>2</v>
      </c>
      <c r="AC39" s="38">
        <v>2</v>
      </c>
      <c r="AD39" s="38">
        <v>1</v>
      </c>
      <c r="AE39" s="38">
        <v>1</v>
      </c>
      <c r="AF39" s="38">
        <v>1</v>
      </c>
      <c r="AG39" s="38">
        <v>1</v>
      </c>
      <c r="AH39" s="37">
        <v>1</v>
      </c>
    </row>
    <row r="40" spans="1:34" ht="12" customHeight="1" x14ac:dyDescent="0.25">
      <c r="A40" s="73" t="s">
        <v>17</v>
      </c>
      <c r="B40" s="58"/>
      <c r="C40" s="74"/>
      <c r="E40" s="57"/>
      <c r="F40" s="57"/>
      <c r="G40" s="57"/>
      <c r="H40" s="57"/>
      <c r="I40" s="57"/>
      <c r="J40" s="57"/>
      <c r="R40" s="101">
        <v>41425</v>
      </c>
      <c r="V40" s="44">
        <v>9</v>
      </c>
      <c r="W40" s="38">
        <v>2</v>
      </c>
      <c r="X40" s="38">
        <v>2</v>
      </c>
      <c r="Y40" s="38">
        <v>2</v>
      </c>
      <c r="Z40" s="38">
        <v>2</v>
      </c>
      <c r="AA40" s="38">
        <v>2</v>
      </c>
      <c r="AB40" s="38">
        <v>2</v>
      </c>
      <c r="AC40" s="38">
        <v>2</v>
      </c>
      <c r="AD40" s="38">
        <v>2</v>
      </c>
      <c r="AE40" s="38">
        <v>1</v>
      </c>
      <c r="AF40" s="38">
        <v>1</v>
      </c>
      <c r="AG40" s="38">
        <v>1</v>
      </c>
      <c r="AH40" s="37">
        <v>1</v>
      </c>
    </row>
    <row r="41" spans="1:34" ht="12" customHeight="1" x14ac:dyDescent="0.25">
      <c r="A41" s="88"/>
      <c r="B41" s="58"/>
      <c r="C41" s="74"/>
      <c r="E41" s="160"/>
      <c r="F41" s="59"/>
      <c r="G41" s="61"/>
      <c r="H41" s="58"/>
      <c r="I41" s="160"/>
      <c r="J41" s="27"/>
      <c r="R41" s="101">
        <v>41455</v>
      </c>
      <c r="V41" s="44">
        <v>10</v>
      </c>
      <c r="W41" s="38">
        <v>2</v>
      </c>
      <c r="X41" s="38">
        <v>2</v>
      </c>
      <c r="Y41" s="38">
        <v>2</v>
      </c>
      <c r="Z41" s="38">
        <v>2</v>
      </c>
      <c r="AA41" s="38">
        <v>2</v>
      </c>
      <c r="AB41" s="38">
        <v>2</v>
      </c>
      <c r="AC41" s="38">
        <v>2</v>
      </c>
      <c r="AD41" s="38">
        <v>2</v>
      </c>
      <c r="AE41" s="38">
        <v>2</v>
      </c>
      <c r="AF41" s="38">
        <v>1</v>
      </c>
      <c r="AG41" s="38">
        <v>1</v>
      </c>
      <c r="AH41" s="37">
        <v>1</v>
      </c>
    </row>
    <row r="42" spans="1:34" ht="12" customHeight="1" x14ac:dyDescent="0.25">
      <c r="A42" s="73" t="s">
        <v>21</v>
      </c>
      <c r="B42" s="76"/>
      <c r="C42" s="74"/>
      <c r="E42" s="160"/>
      <c r="F42" s="58"/>
      <c r="G42" s="62"/>
      <c r="H42" s="58"/>
      <c r="I42" s="160"/>
      <c r="J42" s="62"/>
      <c r="R42" s="101">
        <v>41486</v>
      </c>
      <c r="V42" s="44">
        <v>11</v>
      </c>
      <c r="W42" s="38">
        <v>2</v>
      </c>
      <c r="X42" s="38">
        <v>2</v>
      </c>
      <c r="Y42" s="38">
        <v>2</v>
      </c>
      <c r="Z42" s="38">
        <v>2</v>
      </c>
      <c r="AA42" s="38">
        <v>2</v>
      </c>
      <c r="AB42" s="38">
        <v>2</v>
      </c>
      <c r="AC42" s="38">
        <v>2</v>
      </c>
      <c r="AD42" s="38">
        <v>2</v>
      </c>
      <c r="AE42" s="38">
        <v>2</v>
      </c>
      <c r="AF42" s="38">
        <v>2</v>
      </c>
      <c r="AG42" s="38">
        <v>1</v>
      </c>
      <c r="AH42" s="37">
        <v>1</v>
      </c>
    </row>
    <row r="43" spans="1:34" ht="12" customHeight="1" thickBot="1" x14ac:dyDescent="0.3">
      <c r="A43" s="73" t="s">
        <v>22</v>
      </c>
      <c r="B43" s="76"/>
      <c r="C43" s="74"/>
      <c r="E43" s="60"/>
      <c r="F43" s="58"/>
      <c r="G43" s="58"/>
      <c r="H43" s="58"/>
      <c r="I43" s="58"/>
      <c r="J43" s="58"/>
      <c r="R43" s="101">
        <v>41517</v>
      </c>
      <c r="V43" s="53">
        <v>12</v>
      </c>
      <c r="W43" s="40">
        <v>2</v>
      </c>
      <c r="X43" s="40">
        <v>2</v>
      </c>
      <c r="Y43" s="40">
        <v>2</v>
      </c>
      <c r="Z43" s="40">
        <v>2</v>
      </c>
      <c r="AA43" s="40">
        <v>2</v>
      </c>
      <c r="AB43" s="40">
        <v>2</v>
      </c>
      <c r="AC43" s="40">
        <v>2</v>
      </c>
      <c r="AD43" s="40">
        <v>2</v>
      </c>
      <c r="AE43" s="40">
        <v>2</v>
      </c>
      <c r="AF43" s="40">
        <v>2</v>
      </c>
      <c r="AG43" s="40">
        <v>2</v>
      </c>
      <c r="AH43" s="41">
        <v>1</v>
      </c>
    </row>
    <row r="44" spans="1:34" ht="12" customHeight="1" x14ac:dyDescent="0.25">
      <c r="A44" s="73"/>
      <c r="B44" s="97"/>
      <c r="C44" s="74"/>
      <c r="E44" s="159"/>
      <c r="F44" s="159"/>
      <c r="G44" s="159"/>
      <c r="H44" s="159"/>
      <c r="I44" s="159"/>
      <c r="J44" s="159"/>
      <c r="R44" s="101">
        <v>41547</v>
      </c>
    </row>
    <row r="45" spans="1:34" ht="12" customHeight="1" x14ac:dyDescent="0.25">
      <c r="A45" s="86" t="s">
        <v>34</v>
      </c>
      <c r="B45" s="87" t="str">
        <f>IF(IF(ISERROR(IF(B42&gt;V9,YEAR(V9)+2,YEAR(V9)+1)),”Please enter the correct relevant period”, IF(B42&gt;V9,YEAR(V9)+2,YEAR(V9)+1))=1901,"",IF(ISERROR(IF(B42&gt;V9,YEAR(V9)+2,YEAR(V9)+1)), "Please enter the correct relevant period", IF(B42&gt;V9,YEAR(V9)+2,YEAR(V9)+1)))</f>
        <v/>
      </c>
      <c r="C45" s="74"/>
      <c r="E45" s="159"/>
      <c r="F45" s="159"/>
      <c r="G45" s="159"/>
      <c r="H45" s="159"/>
      <c r="I45" s="159"/>
      <c r="J45" s="159"/>
      <c r="R45" s="101">
        <v>41578</v>
      </c>
    </row>
    <row r="46" spans="1:34" ht="12" customHeight="1" thickBot="1" x14ac:dyDescent="0.3">
      <c r="A46" s="88"/>
      <c r="B46" s="87"/>
      <c r="C46" s="74"/>
      <c r="E46" s="159"/>
      <c r="F46" s="159"/>
      <c r="G46" s="159"/>
      <c r="H46" s="159"/>
      <c r="I46" s="159"/>
      <c r="J46" s="159"/>
      <c r="R46" s="101">
        <v>41608</v>
      </c>
    </row>
    <row r="47" spans="1:34" ht="12" customHeight="1" thickBot="1" x14ac:dyDescent="0.3">
      <c r="A47" s="88" t="s">
        <v>35</v>
      </c>
      <c r="B47" s="89" t="str">
        <f>IF(ISERROR(INDEX(W26:Z29,MATCH(TEXT(MONTH(B42),0),V26:V29,0),MATCH((YEAR(B43)-YEAR(B42))*12+MONTH(B43)-MONTH(B42),W25:Z25,0))),"Please enter the correct relevant period",INDEX(W26:Z29,MATCH(TEXT(MONTH(B42),0),V26:V29,0),MATCH((YEAR(B43)-YEAR(B42))*12+MONTH(B43)-MONTH(B42),W25:Z25,0)))</f>
        <v>Please enter the correct relevant period</v>
      </c>
      <c r="C47" s="74"/>
      <c r="E47" s="159"/>
      <c r="F47" s="159"/>
      <c r="G47" s="159"/>
      <c r="H47" s="159"/>
      <c r="I47" s="159"/>
      <c r="J47" s="159"/>
      <c r="R47" s="102">
        <v>41639</v>
      </c>
    </row>
    <row r="48" spans="1:34" ht="12" customHeight="1" x14ac:dyDescent="0.25">
      <c r="A48" s="73"/>
      <c r="B48" s="58" t="s">
        <v>24</v>
      </c>
      <c r="C48" s="74"/>
      <c r="R48" s="56"/>
    </row>
    <row r="49" spans="1:18" ht="12" customHeight="1" thickBot="1" x14ac:dyDescent="0.3">
      <c r="A49" s="90"/>
      <c r="B49" s="98"/>
      <c r="C49" s="91"/>
    </row>
    <row r="51" spans="1:18" x14ac:dyDescent="0.25">
      <c r="R51" s="56"/>
    </row>
  </sheetData>
  <sheetProtection selectLockedCells="1"/>
  <sortState xmlns:xlrd2="http://schemas.microsoft.com/office/spreadsheetml/2017/richdata2" ref="R36:R48">
    <sortCondition sortBy="cellColor" ref="R48" dxfId="0"/>
  </sortState>
  <dataConsolidate/>
  <mergeCells count="14">
    <mergeCell ref="W24:Z24"/>
    <mergeCell ref="R2:S2"/>
    <mergeCell ref="F4:I4"/>
    <mergeCell ref="E4:E5"/>
    <mergeCell ref="J4:J5"/>
    <mergeCell ref="N2:O2"/>
    <mergeCell ref="L2:M2"/>
    <mergeCell ref="E1:J2"/>
    <mergeCell ref="E44:J47"/>
    <mergeCell ref="I41:I42"/>
    <mergeCell ref="E41:E42"/>
    <mergeCell ref="U25:U29"/>
    <mergeCell ref="A1:C2"/>
    <mergeCell ref="A3:C9"/>
  </mergeCells>
  <phoneticPr fontId="1" type="noConversion"/>
  <dataValidations count="8">
    <dataValidation type="list" allowBlank="1" showErrorMessage="1" errorTitle="Wrong Input" error="Please select from the drop down list." sqref="B14" xr:uid="{00000000-0002-0000-0200-000000000000}">
      <formula1>"Y,N"</formula1>
    </dataValidation>
    <dataValidation type="date" allowBlank="1" showInputMessage="1" showErrorMessage="1" errorTitle="Error" error="Please enter a valid date in the format dd/mm/yyyy." sqref="B18:B19" xr:uid="{00000000-0002-0000-0200-000001000000}">
      <formula1>40575</formula1>
      <formula2>43100</formula2>
    </dataValidation>
    <dataValidation type="list" allowBlank="1" showInputMessage="1" showErrorMessage="1" errorTitle="Error" error="Please choose the accounting year end from the dropdown box." sqref="B13" xr:uid="{00000000-0002-0000-0200-000002000000}">
      <formula1>$R$36:$R$47</formula1>
    </dataValidation>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200-000003000000}"/>
    <dataValidation allowBlank="1" showInputMessage="1" showErrorMessage="1" promptTitle="Note" prompt="Enter non-qualifying costs included in the cash purchase price (B8)." sqref="B32" xr:uid="{00000000-0002-0000-0200-000004000000}"/>
    <dataValidation type="date" allowBlank="1" showInputMessage="1" showErrorMessage="1" errorTitle="Error" error="Please enter a valid date in the format dd/mm/yyyy." promptTitle="Note" prompt="Enter the relevant period as per your PIC Cash Payout application" sqref="B44" xr:uid="{00000000-0002-0000-0200-000005000000}">
      <formula1>40575</formula1>
      <formula2>42369</formula2>
    </dataValidation>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200-000006000000}"/>
    <dataValidation type="date" allowBlank="1" showInputMessage="1" showErrorMessage="1" errorTitle="Error" error="Please enter a valid date in the format dd/mm/yyyy." promptTitle="Note" prompt="Enter the relevant period as per your PIC Cash Payout application" sqref="B42:B43" xr:uid="{00000000-0002-0000-0200-000008000000}">
      <formula1>40575</formula1>
      <formula2>47848</formula2>
    </dataValidation>
  </dataValidations>
  <pageMargins left="0.74803149606299213" right="0.74803149606299213" top="0.98425196850393704" bottom="0.98425196850393704" header="0.51181102362204722" footer="0.51181102362204722"/>
  <colBreaks count="1" manualBreakCount="1">
    <brk id="10"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H51"/>
  <sheetViews>
    <sheetView showGridLines="0" workbookViewId="0">
      <selection activeCell="B17" sqref="B17"/>
    </sheetView>
  </sheetViews>
  <sheetFormatPr defaultColWidth="10.8984375" defaultRowHeight="13.2" x14ac:dyDescent="0.25"/>
  <cols>
    <col min="1" max="1" width="42.59765625" style="1" customWidth="1"/>
    <col min="2" max="2" width="35.09765625" style="1" customWidth="1"/>
    <col min="3" max="4" width="5" style="1" customWidth="1"/>
    <col min="5" max="7" width="10.8984375" style="1"/>
    <col min="8" max="8" width="10.8984375" style="1" customWidth="1"/>
    <col min="9" max="9" width="10.8984375" style="1"/>
    <col min="10" max="10" width="23.8984375" style="1" customWidth="1"/>
    <col min="11" max="11" width="10.8984375" style="1" customWidth="1"/>
    <col min="12" max="20" width="10.8984375" style="1" hidden="1" customWidth="1"/>
    <col min="21" max="21" width="31.3984375" style="1" hidden="1" customWidth="1"/>
    <col min="22" max="34" width="10.8984375" style="1" hidden="1" customWidth="1"/>
    <col min="35" max="16384" width="10.8984375" style="1"/>
  </cols>
  <sheetData>
    <row r="1" spans="1:22" ht="18.75" customHeight="1" thickBot="1" x14ac:dyDescent="0.3">
      <c r="A1" s="139" t="s">
        <v>67</v>
      </c>
      <c r="B1" s="140"/>
      <c r="C1" s="141"/>
      <c r="D1" s="54"/>
      <c r="E1" s="139" t="s">
        <v>70</v>
      </c>
      <c r="F1" s="166"/>
      <c r="G1" s="166"/>
      <c r="H1" s="166"/>
      <c r="I1" s="166"/>
      <c r="J1" s="167"/>
    </row>
    <row r="2" spans="1:22" ht="43.5" customHeight="1" thickBot="1" x14ac:dyDescent="0.3">
      <c r="A2" s="142"/>
      <c r="B2" s="143"/>
      <c r="C2" s="144"/>
      <c r="D2" s="54"/>
      <c r="E2" s="168"/>
      <c r="F2" s="169"/>
      <c r="G2" s="169"/>
      <c r="H2" s="169"/>
      <c r="I2" s="169"/>
      <c r="J2" s="170"/>
      <c r="L2" s="145" t="s">
        <v>2</v>
      </c>
      <c r="M2" s="146"/>
      <c r="N2" s="146" t="s">
        <v>4</v>
      </c>
      <c r="O2" s="147"/>
      <c r="R2" s="148" t="s">
        <v>0</v>
      </c>
      <c r="S2" s="149"/>
      <c r="U2" s="16" t="s">
        <v>6</v>
      </c>
      <c r="V2" s="17" t="e">
        <f>IF(B14="Y",(B25-B32-MAX(B29-B26,0))/B20,(B27-B32-B29)/B20)</f>
        <v>#DIV/0!</v>
      </c>
    </row>
    <row r="3" spans="1:22" ht="15" customHeight="1" thickBot="1" x14ac:dyDescent="0.3">
      <c r="A3" s="171" t="s">
        <v>80</v>
      </c>
      <c r="B3" s="151"/>
      <c r="C3" s="152"/>
      <c r="E3" s="55" t="s">
        <v>52</v>
      </c>
      <c r="J3" s="8"/>
      <c r="L3" s="18">
        <v>1</v>
      </c>
      <c r="M3" s="19">
        <v>1</v>
      </c>
      <c r="N3" s="19">
        <v>1</v>
      </c>
      <c r="O3" s="20">
        <v>3</v>
      </c>
      <c r="R3" s="5">
        <v>1</v>
      </c>
      <c r="S3" s="21"/>
      <c r="U3" s="22" t="s">
        <v>16</v>
      </c>
      <c r="V3" s="23">
        <f>IF(B14="Y",B25-B32,B27-B32)</f>
        <v>0</v>
      </c>
    </row>
    <row r="4" spans="1:22" ht="15" customHeight="1" thickBot="1" x14ac:dyDescent="0.3">
      <c r="A4" s="153"/>
      <c r="B4" s="154"/>
      <c r="C4" s="155"/>
      <c r="E4" s="162" t="s">
        <v>0</v>
      </c>
      <c r="F4" s="161" t="s">
        <v>2</v>
      </c>
      <c r="G4" s="161"/>
      <c r="H4" s="161"/>
      <c r="I4" s="161"/>
      <c r="J4" s="164" t="s">
        <v>15</v>
      </c>
      <c r="L4" s="18">
        <v>2</v>
      </c>
      <c r="M4" s="19">
        <v>1</v>
      </c>
      <c r="N4" s="19">
        <v>2</v>
      </c>
      <c r="O4" s="20">
        <v>2</v>
      </c>
      <c r="R4" s="5">
        <v>2</v>
      </c>
      <c r="S4" s="21" t="e">
        <f t="shared" ref="S4:S33" si="0">$E$6+MIN(R3,$B$20/12)</f>
        <v>#VALUE!</v>
      </c>
      <c r="U4" s="24" t="s">
        <v>7</v>
      </c>
      <c r="V4" s="25">
        <f>IF(B14="Y",MAX(B29-B26,0),B29)</f>
        <v>0</v>
      </c>
    </row>
    <row r="5" spans="1:22" ht="15" customHeight="1" thickBot="1" x14ac:dyDescent="0.3">
      <c r="A5" s="153"/>
      <c r="B5" s="154"/>
      <c r="C5" s="155"/>
      <c r="E5" s="163"/>
      <c r="F5" s="99">
        <v>1</v>
      </c>
      <c r="G5" s="99">
        <v>2</v>
      </c>
      <c r="H5" s="99">
        <v>3</v>
      </c>
      <c r="I5" s="99">
        <v>4</v>
      </c>
      <c r="J5" s="165"/>
      <c r="L5" s="18">
        <v>3</v>
      </c>
      <c r="M5" s="19">
        <v>1</v>
      </c>
      <c r="N5" s="19">
        <v>3</v>
      </c>
      <c r="O5" s="20">
        <v>1</v>
      </c>
      <c r="R5" s="5">
        <v>3</v>
      </c>
      <c r="S5" s="21" t="e">
        <f t="shared" si="0"/>
        <v>#VALUE!</v>
      </c>
    </row>
    <row r="6" spans="1:22" ht="15" customHeight="1" thickBot="1" x14ac:dyDescent="0.3">
      <c r="A6" s="153"/>
      <c r="B6" s="154"/>
      <c r="C6" s="155"/>
      <c r="E6" s="2"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3" t="str">
        <f>IF(IF(ISERROR(ROUND(MIN(IF(AND($V$21=$E$6,$V$13=F5),$V$4,0)+IF(AND($V$17=$E$6,$V$8=F5),$V$2*M29,0),$B$36),0)),"",ROUND(MIN(IF(AND($V$21=$E$6,$V$13=F5),$V$4,0)+IF(AND($V$17=$E$6,$V$8=F5),$V$2*M29,0),$B$36),0))&gt;0,IF(ISERROR(ROUND(MIN(IF(AND($V$21=$E$6,$V$13=F5),$V$4,0)+IF(AND($V$17=$E$6,$V$8=F5),$V$2*M29,0),$B$36),0)),"",ROUND(MIN(IF(AND($V$21=$E$6,$V$13=F5),$V$4,0)+IF(AND($V$17=$E$6,$V$8=F5),$V$2*M29,0),$B$36),0)),0)</f>
        <v/>
      </c>
      <c r="G6" s="3" t="str">
        <f>IF(IF(ISERROR(ROUND(MIN(IF(AND($V$21=$E$6,$V$13=G5),$V$4,0)+IF(ISERROR(IF(AND($V$17=$E$6,$V$8=G5),$V$2*N29,0)),0,IF(AND($V$17=$E$6,$V$8=G5),$V$2*N29,0))+IF(AND($V$8&lt;G5,$V$17=$E$6),$V$2*3,0),$B$36-SUM($F$6:F6)),0)),"",ROUND(MIN(IF(AND($V$21=$E$6,$V$13=G5),$V$4,0)+IF(ISERROR(IF(AND($V$17=$E$6,$V$8=G5),$V$2*N29,0)),0,IF(AND($V$17=$E$6,$V$8=G5),$V$2*N29,0))+IF(AND($V$8&lt;G5,$V$17=$E$6),$V$2*3,0),$B$36-SUM($F$6:F6)),0))&gt;0,IF(ISERROR(ROUND(MIN(IF(AND($V$21=$E$6,$V$13=G5),$V$4,0)+IF(ISERROR(IF(AND($V$17=$E$6,$V$8=G5),$V$2*N29,0)),0,IF(AND($V$17=$E$6,$V$8=G5),$V$2*N29,0))+IF(AND($V$8&lt;G5,$V$17=$E$6),$V$2*3,0),$B$36-SUM($F$6:F6)),0)),"",ROUND(MIN(IF(AND($V$21=$E$6,$V$13=G5),$V$4,0)+IF(ISERROR(IF(AND($V$17=$E$6,$V$8=G5),$V$2*N29,0)),0,IF(AND($V$17=$E$6,$V$8=G5),$V$2*N29,0))+IF(AND($V$8&lt;G5,$V$17=$E$6),$V$2*3,0),$B$36-SUM($F$6:F6)),0)),0)</f>
        <v/>
      </c>
      <c r="H6" s="3" t="str">
        <f>IF(IF(ISERROR(ROUND(MIN(IF(AND($V$21=$E$6,$V$13=H5),$V$4,0)+IF(ISERROR(IF(AND($V$17=$E$6,$V$8=H5),$V$2*O29,0)),0,IF(AND($V$17=$E$6,$V$8=H5),$V$2*O29,0))+IF(AND($V$8&lt;H5,$V$17=$E$6),$V$2*3,0),$B$36-SUM($F$6:G6)),0)),"",ROUND(MIN(IF(AND($V$21=$E$6,$V$13=H5),$V$4,0)+IF(ISERROR(IF(AND($V$17=$E$6,$V$8=H5),$V$2*O29,0)),0,IF(AND($V$17=$E$6,$V$8=H5),$V$2*O29,0))+IF(AND($V$8&lt;H5,$V$17=$E$6),$V$2*3,0),$B$36-SUM($F$6:G6)),0))&gt;0,IF(ISERROR(ROUND(MIN(IF(AND($V$21=$E$6,$V$13=H5),$V$4,0)+IF(ISERROR(IF(AND($V$17=$E$6,$V$8=H5),$V$2*O29,0)),0,IF(AND($V$17=$E$6,$V$8=H5),$V$2*O29,0))+IF(AND($V$8&lt;H5,$V$17=$E$6),$V$2*3,0),$B$36-SUM($F$6:G6)),0)),"",ROUND(MIN(IF(AND($V$21=$E$6,$V$13=H5),$V$4,0)+IF(ISERROR(IF(AND($V$17=$E$6,$V$8=H5),$V$2*O29,0)),0,IF(AND($V$17=$E$6,$V$8=H5),$V$2*O29,0))+IF(AND($V$8&lt;H5,$V$17=$E$6),$V$2*3,0),$B$36-SUM($F$6:G6)),0)),0)</f>
        <v/>
      </c>
      <c r="I6" s="3" t="str">
        <f>IF(IF(ISERROR(ROUND(MIN(IF(AND($V$21=$E$6,$V$13=I5),$V$4,0)+IF(ISERROR(IF(AND($V$17=$E$6,$V$8=I5),$V$2*P29,0)),0,IF(AND($V$17=$E$6,$V$8=I5),$V$2*P29,0))+IF(AND($V$8&lt;I5,$V$17=$E$6),$V$2*3,0),$B$36-SUM($F$6:H6)),0)),"",ROUND(MIN(IF(AND($V$21=$E$6,$V$13=I5),$V$4,0)+IF(ISERROR(IF(AND($V$17=$E$6,$V$8=I5),$V$2*P29,0)),0,IF(AND($V$17=$E$6,$V$8=I5),$V$2*P29,0))+IF(AND($V$8&lt;I5,$V$17=$E$6),$V$2*3,0),$B$36-SUM($F$6:H6)),0))&gt;0,IF(ISERROR(ROUND(MIN(IF(AND($V$21=$E$6,$V$13=I5),$V$4,0)+IF(ISERROR(IF(AND($V$17=$E$6,$V$8=I5),$V$2*P29,0)),0,IF(AND($V$17=$E$6,$V$8=I5),$V$2*P29,0))+IF(AND($V$8&lt;I5,$V$17=$E$6),$V$2*3,0),$B$36-SUM($F$6:H6)),0)),"",ROUND(MIN(IF(AND($V$21=$E$6,$V$13=I5),$V$4,0)+IF(ISERROR(IF(AND($V$17=$E$6,$V$8=I5),$V$2*P29,0)),0,IF(AND($V$17=$E$6,$V$8=I5),$V$2*P29,0))+IF(AND($V$8&lt;I5,$V$17=$E$6),$V$2*3,0),$B$36-SUM($F$6:H6)),0)),0)</f>
        <v/>
      </c>
      <c r="J6" s="4">
        <f>SUM(F6:I6)</f>
        <v>0</v>
      </c>
      <c r="L6" s="18">
        <v>4</v>
      </c>
      <c r="M6" s="19">
        <v>2</v>
      </c>
      <c r="N6" s="19">
        <v>4</v>
      </c>
      <c r="O6" s="20">
        <v>3</v>
      </c>
      <c r="R6" s="5">
        <v>4</v>
      </c>
      <c r="S6" s="21" t="e">
        <f t="shared" si="0"/>
        <v>#VALUE!</v>
      </c>
      <c r="U6" s="1" t="s">
        <v>49</v>
      </c>
    </row>
    <row r="7" spans="1:22" ht="15" customHeight="1" x14ac:dyDescent="0.25">
      <c r="A7" s="153"/>
      <c r="B7" s="154"/>
      <c r="C7" s="155"/>
      <c r="E7" s="5" t="str">
        <f>IF(ISERROR(IF(AND(F7="",F7=0,G7="",G7=0,H7="",H7=0,I7="",I7=0),"",IF($V$17=$V$21,E6+1,IF($V$21&gt;$V$17,$V$17+1,$V$17)))),"",IF(AND(F7="",F7=0,G7="",G7=0,H7="",H7=0,I7="",I7=0),"",IF($V$17=$V$21,E6+1,IF($V$21&gt;$V$17,$V$17+1,$V$17))))</f>
        <v/>
      </c>
      <c r="F7" s="6" t="str">
        <f>IF(IF(ISERROR(IF(ROUND(MIN(IF($V$17&lt;&gt;$E$6,IF($V$8=F5,$V$2*M29,0),$V$2*3),$B$36-SUM($J$6:$J6)),0)&lt;0,0,ROUND(MIN(IF($V$17&lt;&gt;$E$6,IF($V$8=F5,$V$2*M29,0),$V$2*3),$B$36-SUM($J$6:$J6)),0))),"",IF(ROUND(MIN(IF($V$17&lt;&gt;$E$6,IF($V$8=F5,$V$2*M29,0),$V$2*3),$B$36-SUM($J$6:$J6)),0)&lt;0,0,ROUND(MIN(IF($V$17&lt;&gt;$E$6,IF($V$8=F5,$V$2*M29,0),$V$2*3),$B$36-SUM($J$6:$J6)),0)))&gt;0,IF(ISERROR(IF(ROUND(MIN(IF($V$17&lt;&gt;$E$6,IF($V$8=F5,$V$2*M29,0),$V$2*3),$B$36-SUM($J$6:$J6)),0)&lt;0,0,ROUND(MIN(IF($V$17&lt;&gt;$E$6,IF($V$8=F5,$V$2*M29,0),$V$2*3),$B$36-SUM($J$6:$J6)),0))),"",IF(ROUND(MIN(IF($V$17&lt;&gt;$E$6,IF($V$8=F5,$V$2*M29,0),$V$2*3),$B$36-SUM($J$6:$J6)),0)&lt;0,0,ROUND(MIN(IF($V$17&lt;&gt;$E$6,IF($V$8=F5,$V$2*M29,0),$V$2*3),$B$36-SUM($J$6:$J6)),0))),0)</f>
        <v/>
      </c>
      <c r="G7" s="6" t="str">
        <f>IF(IF(ISERROR(IF(ROUND(MIN(IF($V$17&lt;&gt;$E$6,IF($V$8=F5,$V$2*M29,0),$V$2*3),$B$36-SUM($J$6:$J6)),0)&lt;0,0,ROUND(MIN(IF($V$17&lt;&gt;$E$6,IF($V$8=G5,$V$2*N29,0)+IF($V$8&lt;G5,$V$2*3,0),$V$2*3),$B$36-SUM($J$6:$J6)-SUM($F$7:F7)),0))),"",IF(ROUND(MIN(IF($V$17&lt;&gt;$E$6,IF($V$8=F5,$V$2*M29,0),$V$2*3),$B$36-SUM($J$6:$J6)),0)&lt;0,0,ROUND(MIN(IF($V$17&lt;&gt;$E$6,IF($V$8=G5,$V$2*N29,0)+IF($V$8&lt;G5,$V$2*3,0),$V$2*3),$B$36-SUM($J$6:$J6)-SUM($F$7:F7)),0)))&gt;0,IF(ISERROR(IF(ROUND(MIN(IF($V$17&lt;&gt;$E$6,IF($V$8=F5,$V$2*M29,0),$V$2*3),$B$36-SUM($J$6:$J6)),0)&lt;0,0,ROUND(MIN(IF($V$17&lt;&gt;$E$6,IF($V$8=G5,$V$2*N29,0)+IF($V$8&lt;G5,$V$2*3,0),$V$2*3),$B$36-SUM($J$6:$J6)-SUM($F$7:F7)),0))),"",IF(ROUND(MIN(IF($V$17&lt;&gt;$E$6,IF($V$8=F5,$V$2*M29,0),$V$2*3),$B$36-SUM($J$6:$J6)),0)&lt;0,0,ROUND(MIN(IF($V$17&lt;&gt;$E$6,IF($V$8=G5,$V$2*N29,0)+IF($V$8&lt;G5,$V$2*3,0),$V$2*3),$B$36-SUM($J$6:$J6)-SUM($F$7:F7)),0))),0)</f>
        <v/>
      </c>
      <c r="H7" s="6" t="str">
        <f>IF(IF(ISERROR(IF(ROUND(MIN(IF($V$17&lt;&gt;$E$6,IF($V$8=F5,$V$2*M29,0),$V$2*3),$B$36-SUM($J$6:$J6)),0)&lt;0,0,ROUND(MIN(IF($V$17&lt;&gt;$E$6,IF($V$8=H5,$V$2*O29,0)+IF($V$8&lt;H5,$V$2*3,0),$V$2*3),$B$36-SUM($J$6:$J6)-SUM($F$7:G7)),0))),"",IF(ROUND(MIN(IF($V$17&lt;&gt;$E$6,IF($V$8=F5,$V$2*M29,0),$V$2*3),$B$36-SUM($J$6:$J6)),0)&lt;0,0,ROUND(MIN(IF($V$17&lt;&gt;$E$6,IF($V$8=H5,$V$2*O29,0)+IF($V$8&lt;H5,$V$2*3,0),$V$2*3),$B$36-SUM($J$6:$J6)-SUM($F$7:G7)),0)))&gt;0,IF(ISERROR(IF(ROUND(MIN(IF($V$17&lt;&gt;$E$6,IF($V$8=F5,$V$2*M29,0),$V$2*3),$B$36-SUM($J$6:$J6)),0)&lt;0,0,ROUND(MIN(IF($V$17&lt;&gt;$E$6,IF($V$8=H5,$V$2*O29,0)+IF($V$8&lt;H5,$V$2*3,0),$V$2*3),$B$36-SUM($J$6:$J6)-SUM($F$7:G7)),0))),"",IF(ROUND(MIN(IF($V$17&lt;&gt;$E$6,IF($V$8=F5,$V$2*M29,0),$V$2*3),$B$36-SUM($J$6:$J6)),0)&lt;0,0,ROUND(MIN(IF($V$17&lt;&gt;$E$6,IF($V$8=H5,$V$2*O29,0)+IF($V$8&lt;H5,$V$2*3,0),$V$2*3),$B$36-SUM($J$6:$J6)-SUM($F$7:G7)),0))),0)</f>
        <v/>
      </c>
      <c r="I7" s="6" t="str">
        <f>IF(IF(ISERROR(IF(ROUND(MIN(IF($V$17&lt;&gt;$E$6,IF($V$8=F5,$V$2*M29,0),$V$2*3),$B$36-SUM($J$6:$J6)),0)&lt;0,0,ROUND(MIN(IF($V$17&lt;&gt;$E$6,IF($V$8=I5,$V$2*P29,0)+IF($V$8&lt;I5,$V$2*3,0),$V$2*3),$B$36-SUM($J$6:$J6)-SUM($F$7:H7)),0))),"",IF(ROUND(MIN(IF($V$17&lt;&gt;$E$6,IF($V$8=F5,$V$2*M29,0),$V$2*3),$B$36-SUM($J$6:$J6)),0)&lt;0,0,ROUND(MIN(IF($V$17&lt;&gt;$E$6,IF($V$8=I5,$V$2*P29,0)+IF($V$8&lt;I5,$V$2*3,0),$V$2*3),$B$36-SUM($J$6:$J6)-SUM($F$7:H7)),0)))&gt;0,IF(ISERROR(IF(ROUND(MIN(IF($V$17&lt;&gt;$E$6,IF($V$8=F5,$V$2*M29,0),$V$2*3),$B$36-SUM($J$6:$J6)),0)&lt;0,0,ROUND(MIN(IF($V$17&lt;&gt;$E$6,IF($V$8=I5,$V$2*P29,0)+IF($V$8&lt;I5,$V$2*3,0),$V$2*3),$B$36-SUM($J$6:$J6)-SUM($F$7:H7)),0))),"",IF(ROUND(MIN(IF($V$17&lt;&gt;$E$6,IF($V$8=F5,$V$2*M29,0),$V$2*3),$B$36-SUM($J$6:$J6)),0)&lt;0,0,ROUND(MIN(IF($V$17&lt;&gt;$E$6,IF($V$8=I5,$V$2*P29,0)+IF($V$8&lt;I5,$V$2*3,0),$V$2*3),$B$36-SUM($J$6:$J6)-SUM($F$7:H7)),0))),0)</f>
        <v/>
      </c>
      <c r="J7" s="7" t="str">
        <f>IF(E7="","",SUM(F7:I7))</f>
        <v/>
      </c>
      <c r="L7" s="18">
        <v>5</v>
      </c>
      <c r="M7" s="19">
        <v>2</v>
      </c>
      <c r="N7" s="19">
        <v>5</v>
      </c>
      <c r="O7" s="20">
        <v>2</v>
      </c>
      <c r="R7" s="5">
        <v>5</v>
      </c>
      <c r="S7" s="21" t="e">
        <f t="shared" si="0"/>
        <v>#VALUE!</v>
      </c>
      <c r="U7" s="16" t="s">
        <v>3</v>
      </c>
      <c r="V7" s="26" t="e">
        <f>(YEAR($B$19)-YEAR(DATE(YEAR($B$19)-1,MONTH($B$13),DAY($B$13))))*12+MONTH($B$19)-MONTH(DATE(YEAR($B$19)-1,MONTH($B$13),DAY($B$13)))</f>
        <v>#VALUE!</v>
      </c>
    </row>
    <row r="8" spans="1:22" ht="15" customHeight="1" x14ac:dyDescent="0.25">
      <c r="A8" s="153"/>
      <c r="B8" s="154"/>
      <c r="C8" s="155"/>
      <c r="E8" s="5" t="str">
        <f>IF(OR(F8="",F8=0),"",E7+1)</f>
        <v/>
      </c>
      <c r="F8" s="6" t="str">
        <f>IF(IF(OR(I7="",I7=0),"",IF(ROUND(MIN($V$2*3,$B$36-SUM($J$6:$J7)),0)&lt;0,0,ROUND(MIN($V$2*3,$B$36-SUM($J$6:$J7)),0)))&gt;0,IF(OR(I7="",I7=0),"",IF(ROUND(MIN($V$2*3,$B$36-SUM($J$6:$J7)),0)&lt;0,0,ROUND(MIN($V$2*3,$B$36-SUM($J$6:$J7)),0))),0)</f>
        <v/>
      </c>
      <c r="G8" s="6" t="str">
        <f>IF(IF(OR(F8="",F8=0),"",IF(ROUND(MIN($V$2*3,$B$36-SUM($J$6:$J7)-SUM($F8:F8)),0)&lt;0,0,ROUND(MIN($V$2*3,$B$36-SUM($J$6:$J7)-SUM($F8:F8)),0)))&gt;0,IF(OR(F8="",F8=0),"",IF(ROUND(MIN($V$2*3,$B$36-SUM($J$6:$J7)-SUM($F8:F8)),0)&lt;0,0,ROUND(MIN($V$2*3,$B$36-SUM($J$6:$J7)-SUM($F8:F8)),0))),0)</f>
        <v/>
      </c>
      <c r="H8" s="6" t="str">
        <f>IF(IF(OR(G8="",G8=0),"",IF(ROUND(MIN($V$2*3,$B$36-SUM($J$6:$J7)-SUM($F8:G8)),0)&lt;0,0,ROUND(MIN($V$2*3,$B$36-SUM($J$6:$J7)-SUM($F8:G8)),0)))&gt;0,IF(OR(G8="",G8=0),"",IF(ROUND(MIN($V$2*3,$B$36-SUM($J$6:$J7)-SUM($F8:G8)),0)&lt;0,0,ROUND(MIN($V$2*3,$B$36-SUM($J$6:$J7)-SUM($F8:G8)),0))),0)</f>
        <v/>
      </c>
      <c r="I8" s="6" t="str">
        <f>IF(IF(OR(H8="",H8=0),"",IF(ROUND(MIN($V$2*3,$B$36-SUM($J$6:$J7)-SUM($F8:H8)),0)&lt;0,0,ROUND(MIN($V$2*3,$B$36-SUM($J$6:$J7)-SUM($F8:H8)),0)))&gt;0,IF(OR(H8="",H8=0),"",IF(ROUND(MIN($V$2*3,$B$36-SUM($J$6:$J7)-SUM($F8:H8)),0)&lt;0,0,ROUND(MIN($V$2*3,$B$36-SUM($J$6:$J7)-SUM($F8:H8)),0))),0)</f>
        <v/>
      </c>
      <c r="J8" s="7" t="str">
        <f t="shared" ref="J8:J36" si="1">IF(E8="","",SUM(F8:I8))</f>
        <v/>
      </c>
      <c r="L8" s="18">
        <v>6</v>
      </c>
      <c r="M8" s="19">
        <v>2</v>
      </c>
      <c r="N8" s="19">
        <v>6</v>
      </c>
      <c r="O8" s="20">
        <v>1</v>
      </c>
      <c r="R8" s="5">
        <v>6</v>
      </c>
      <c r="S8" s="21" t="e">
        <f t="shared" si="0"/>
        <v>#VALUE!</v>
      </c>
      <c r="U8" s="22" t="s">
        <v>2</v>
      </c>
      <c r="V8" s="21" t="e">
        <f>LOOKUP(V7,$L$3:$L$26,$M$3:$M$26)</f>
        <v>#VALUE!</v>
      </c>
    </row>
    <row r="9" spans="1:22" ht="15" customHeight="1" thickBot="1" x14ac:dyDescent="0.3">
      <c r="A9" s="156"/>
      <c r="B9" s="157"/>
      <c r="C9" s="158"/>
      <c r="E9" s="5" t="str">
        <f t="shared" ref="E9:E36" si="2">IF(OR(F9="",F9=0),"",E8+1)</f>
        <v/>
      </c>
      <c r="F9" s="6" t="str">
        <f>IF(IF(OR(I8="",I8=0),"",IF(ROUND(MIN($V$2*3,$B$36-SUM($J$6:$J8)),0)&lt;0,0,ROUND(MIN($V$2*3,$B$36-SUM($J$6:$J8)),0)))&gt;0,IF(OR(I8="",I8=0),"",IF(ROUND(MIN($V$2*3,$B$36-SUM($J$6:$J8)),0)&lt;0,0,ROUND(MIN($V$2*3,$B$36-SUM($J$6:$J8)),0))),0)</f>
        <v/>
      </c>
      <c r="G9" s="6" t="str">
        <f>IF(IF(OR(F9="",F9=0),"",IF(ROUND(MIN($V$2*3,$B$36-SUM($J$6:$J8)-SUM($F9:F9)),0)&lt;0,0,ROUND(MIN($V$2*3,$B$36-SUM($J$6:$J8)-SUM($F9:F9)),0)))&gt;0,IF(OR(F9="",F9=0),"",IF(ROUND(MIN($V$2*3,$B$36-SUM($J$6:$J8)-SUM($F9:F9)),0)&lt;0,0,ROUND(MIN($V$2*3,$B$36-SUM($J$6:$J8)-SUM($F9:F9)),0))),0)</f>
        <v/>
      </c>
      <c r="H9" s="6" t="str">
        <f>IF(IF(OR(G9="",G9=0),"",IF(ROUND(MIN($V$2*3,$B$36-SUM($J$6:$J8)-SUM($F9:G9)),0)&lt;0,0,ROUND(MIN($V$2*3,$B$36-SUM($J$6:$J8)-SUM($F9:G9)),0)))&gt;0,IF(OR(G9="",G9=0),"",IF(ROUND(MIN($V$2*3,$B$36-SUM($J$6:$J8)-SUM($F9:G9)),0)&lt;0,0,ROUND(MIN($V$2*3,$B$36-SUM($J$6:$J8)-SUM($F9:G9)),0))),0)</f>
        <v/>
      </c>
      <c r="I9" s="6" t="str">
        <f>IF(IF(OR(H9="",H9=0),"",IF(ROUND(MIN($V$2*3,$B$36-SUM($J$6:$J8)-SUM($F9:H9)),0)&lt;0,0,ROUND(MIN($V$2*3,$B$36-SUM($J$6:$J8)-SUM($F9:H9)),0)))&gt;0,IF(OR(H9="",H9=0),"",IF(ROUND(MIN($V$2*3,$B$36-SUM($J$6:$J8)-SUM($F9:H9)),0)&lt;0,0,ROUND(MIN($V$2*3,$B$36-SUM($J$6:$J8)-SUM($F9:H9)),0))),0)</f>
        <v/>
      </c>
      <c r="J9" s="7" t="str">
        <f t="shared" si="1"/>
        <v/>
      </c>
      <c r="L9" s="18">
        <v>7</v>
      </c>
      <c r="M9" s="19">
        <v>3</v>
      </c>
      <c r="N9" s="19">
        <v>7</v>
      </c>
      <c r="O9" s="20">
        <v>3</v>
      </c>
      <c r="P9" s="30"/>
      <c r="Q9" s="30"/>
      <c r="R9" s="5">
        <v>7</v>
      </c>
      <c r="S9" s="21" t="e">
        <f t="shared" si="0"/>
        <v>#VALUE!</v>
      </c>
      <c r="U9" s="28" t="s">
        <v>9</v>
      </c>
      <c r="V9" s="29" t="e">
        <f>DATE(YEAR($B$42),MONTH($B$13),DAY($B$13))</f>
        <v>#VALUE!</v>
      </c>
    </row>
    <row r="10" spans="1:22" ht="12.75" customHeight="1" thickBot="1" x14ac:dyDescent="0.3">
      <c r="A10" s="70" t="s">
        <v>39</v>
      </c>
      <c r="B10" s="106"/>
      <c r="C10" s="72"/>
      <c r="E10" s="5" t="str">
        <f t="shared" si="2"/>
        <v/>
      </c>
      <c r="F10" s="6" t="str">
        <f>IF(IF(OR(I9="",I9=0),"",IF(ROUND(MIN($V$2*3,$B$36-SUM($J$6:$J9)),0)&lt;0,0,ROUND(MIN($V$2*3,$B$36-SUM($J$6:$J9)),0)))&gt;0,IF(OR(I9="",I9=0),"",IF(ROUND(MIN($V$2*3,$B$36-SUM($J$6:$J9)),0)&lt;0,0,ROUND(MIN($V$2*3,$B$36-SUM($J$6:$J9)),0))),0)</f>
        <v/>
      </c>
      <c r="G10" s="6" t="str">
        <f>IF(IF(OR(F10="",F10=0),"",IF(ROUND(MIN($V$2*3,$B$36-SUM($J$6:$J9)-SUM($F10:F10)),0)&lt;0,0,ROUND(MIN($V$2*3,$B$36-SUM($J$6:$J9)-SUM($F10:F10)),0)))&gt;0,IF(OR(F10="",F10=0),"",IF(ROUND(MIN($V$2*3,$B$36-SUM($J$6:$J9)-SUM($F10:F10)),0)&lt;0,0,ROUND(MIN($V$2*3,$B$36-SUM($J$6:$J9)-SUM($F10:F10)),0))),0)</f>
        <v/>
      </c>
      <c r="H10" s="6" t="str">
        <f>IF(IF(OR(G10="",G10=0),"",IF(ROUND(MIN($V$2*3,$B$36-SUM($J$6:$J9)-SUM($F10:G10)),0)&lt;0,0,ROUND(MIN($V$2*3,$B$36-SUM($J$6:$J9)-SUM($F10:G10)),0)))&gt;0,IF(OR(G10="",G10=0),"",IF(ROUND(MIN($V$2*3,$B$36-SUM($J$6:$J9)-SUM($F10:G10)),0)&lt;0,0,ROUND(MIN($V$2*3,$B$36-SUM($J$6:$J9)-SUM($F10:G10)),0))),0)</f>
        <v/>
      </c>
      <c r="I10" s="6" t="str">
        <f>IF(IF(OR(H10="",H10=0),"",IF(ROUND(MIN($V$2*3,$B$36-SUM($J$6:$J9)-SUM($F10:H10)),0)&lt;0,0,ROUND(MIN($V$2*3,$B$36-SUM($J$6:$J9)-SUM($F10:H10)),0)))&gt;0,IF(OR(H10="",H10=0),"",IF(ROUND(MIN($V$2*3,$B$36-SUM($J$6:$J9)-SUM($F10:H10)),0)&lt;0,0,ROUND(MIN($V$2*3,$B$36-SUM($J$6:$J9)-SUM($F10:H10)),0))),0)</f>
        <v/>
      </c>
      <c r="J10" s="7" t="str">
        <f t="shared" si="1"/>
        <v/>
      </c>
      <c r="L10" s="18">
        <v>8</v>
      </c>
      <c r="M10" s="19">
        <v>3</v>
      </c>
      <c r="N10" s="19">
        <v>8</v>
      </c>
      <c r="O10" s="20">
        <v>2</v>
      </c>
      <c r="R10" s="5">
        <v>8</v>
      </c>
      <c r="S10" s="21" t="e">
        <f t="shared" si="0"/>
        <v>#VALUE!</v>
      </c>
      <c r="U10" s="54"/>
    </row>
    <row r="11" spans="1:22" ht="12.75" customHeight="1" thickBot="1" x14ac:dyDescent="0.3">
      <c r="A11" s="73" t="s">
        <v>12</v>
      </c>
      <c r="B11" s="107" t="str">
        <f>IF('HP Equipment 1'!B11="","",'HP Equipment 1'!B11)</f>
        <v/>
      </c>
      <c r="C11" s="74"/>
      <c r="E11" s="5" t="str">
        <f t="shared" si="2"/>
        <v/>
      </c>
      <c r="F11" s="6" t="str">
        <f>IF(IF(OR(I10="",I10=0),"",IF(ROUND(MIN($V$2*3,$B$36-SUM($J$6:$J10)),0)&lt;0,0,ROUND(MIN($V$2*3,$B$36-SUM($J$6:$J10)),0)))&gt;0,IF(OR(I10="",I10=0),"",IF(ROUND(MIN($V$2*3,$B$36-SUM($J$6:$J10)),0)&lt;0,0,ROUND(MIN($V$2*3,$B$36-SUM($J$6:$J10)),0))),0)</f>
        <v/>
      </c>
      <c r="G11" s="6" t="str">
        <f>IF(IF(OR(F11="",F11=0),"",IF(ROUND(MIN($V$2*3,$B$36-SUM($J$6:$J10)-SUM($F11:F11)),0)&lt;0,0,ROUND(MIN($V$2*3,$B$36-SUM($J$6:$J10)-SUM($F11:F11)),0)))&gt;0,IF(OR(F11="",F11=0),"",IF(ROUND(MIN($V$2*3,$B$36-SUM($J$6:$J10)-SUM($F11:F11)),0)&lt;0,0,ROUND(MIN($V$2*3,$B$36-SUM($J$6:$J10)-SUM($F11:F11)),0))),0)</f>
        <v/>
      </c>
      <c r="H11" s="6" t="str">
        <f>IF(IF(OR(G11="",G11=0),"",IF(ROUND(MIN($V$2*3,$B$36-SUM($J$6:$J10)-SUM($F11:G11)),0)&lt;0,0,ROUND(MIN($V$2*3,$B$36-SUM($J$6:$J10)-SUM($F11:G11)),0)))&gt;0,IF(OR(G11="",G11=0),"",IF(ROUND(MIN($V$2*3,$B$36-SUM($J$6:$J10)-SUM($F11:G11)),0)&lt;0,0,ROUND(MIN($V$2*3,$B$36-SUM($J$6:$J10)-SUM($F11:G11)),0))),0)</f>
        <v/>
      </c>
      <c r="I11" s="6" t="str">
        <f>IF(IF(OR(H11="",H11=0),"",IF(ROUND(MIN($V$2*3,$B$36-SUM($J$6:$J10)-SUM($F11:H11)),0)&lt;0,0,ROUND(MIN($V$2*3,$B$36-SUM($J$6:$J10)-SUM($F11:H11)),0)))&gt;0,IF(OR(H11="",H11=0),"",IF(ROUND(MIN($V$2*3,$B$36-SUM($J$6:$J10)-SUM($F11:H11)),0)&lt;0,0,ROUND(MIN($V$2*3,$B$36-SUM($J$6:$J10)-SUM($F11:H11)),0))),0)</f>
        <v/>
      </c>
      <c r="J11" s="7" t="str">
        <f t="shared" si="1"/>
        <v/>
      </c>
      <c r="L11" s="18">
        <v>9</v>
      </c>
      <c r="M11" s="19">
        <v>3</v>
      </c>
      <c r="N11" s="19">
        <v>9</v>
      </c>
      <c r="O11" s="20">
        <v>1</v>
      </c>
      <c r="R11" s="5">
        <v>9</v>
      </c>
      <c r="S11" s="21" t="e">
        <f t="shared" si="0"/>
        <v>#VALUE!</v>
      </c>
      <c r="U11" s="1" t="s">
        <v>46</v>
      </c>
    </row>
    <row r="12" spans="1:22" ht="12.75" customHeight="1" x14ac:dyDescent="0.25">
      <c r="A12" s="73" t="s">
        <v>13</v>
      </c>
      <c r="B12" s="58" t="str">
        <f>IF('HP Equipment 1'!B12="","",'HP Equipment 1'!B12)</f>
        <v/>
      </c>
      <c r="C12" s="74"/>
      <c r="E12" s="5" t="str">
        <f t="shared" si="2"/>
        <v/>
      </c>
      <c r="F12" s="6" t="str">
        <f>IF(IF(OR(I11="",I11=0),"",IF(ROUND(MIN($V$2*3,$B$36-SUM($J$6:$J11)),0)&lt;0,0,ROUND(MIN($V$2*3,$B$36-SUM($J$6:$J11)),0)))&gt;0,IF(OR(I11="",I11=0),"",IF(ROUND(MIN($V$2*3,$B$36-SUM($J$6:$J11)),0)&lt;0,0,ROUND(MIN($V$2*3,$B$36-SUM($J$6:$J11)),0))),0)</f>
        <v/>
      </c>
      <c r="G12" s="6" t="str">
        <f>IF(IF(OR(F12="",F12=0),"",IF(ROUND(MIN($V$2*3,$B$36-SUM($J$6:$J11)-SUM($F12:F12)),0)&lt;0,0,ROUND(MIN($V$2*3,$B$36-SUM($J$6:$J11)-SUM($F12:F12)),0)))&gt;0,IF(OR(F12="",F12=0),"",IF(ROUND(MIN($V$2*3,$B$36-SUM($J$6:$J11)-SUM($F12:F12)),0)&lt;0,0,ROUND(MIN($V$2*3,$B$36-SUM($J$6:$J11)-SUM($F12:F12)),0))),0)</f>
        <v/>
      </c>
      <c r="H12" s="6" t="str">
        <f>IF(IF(OR(G12="",G12=0),"",IF(ROUND(MIN($V$2*3,$B$36-SUM($J$6:$J11)-SUM($F12:G12)),0)&lt;0,0,ROUND(MIN($V$2*3,$B$36-SUM($J$6:$J11)-SUM($F12:G12)),0)))&gt;0,IF(OR(G12="",G12=0),"",IF(ROUND(MIN($V$2*3,$B$36-SUM($J$6:$J11)-SUM($F12:G12)),0)&lt;0,0,ROUND(MIN($V$2*3,$B$36-SUM($J$6:$J11)-SUM($F12:G12)),0))),0)</f>
        <v/>
      </c>
      <c r="I12" s="6" t="str">
        <f>IF(IF(OR(H12="",H12=0),"",IF(ROUND(MIN($V$2*3,$B$36-SUM($J$6:$J11)-SUM($F12:H12)),0)&lt;0,0,ROUND(MIN($V$2*3,$B$36-SUM($J$6:$J11)-SUM($F12:H12)),0)))&gt;0,IF(OR(H12="",H12=0),"",IF(ROUND(MIN($V$2*3,$B$36-SUM($J$6:$J11)-SUM($F12:H12)),0)&lt;0,0,ROUND(MIN($V$2*3,$B$36-SUM($J$6:$J11)-SUM($F12:H12)),0))),0)</f>
        <v/>
      </c>
      <c r="J12" s="7" t="str">
        <f t="shared" si="1"/>
        <v/>
      </c>
      <c r="L12" s="18">
        <v>10</v>
      </c>
      <c r="M12" s="19">
        <v>4</v>
      </c>
      <c r="N12" s="19">
        <v>10</v>
      </c>
      <c r="O12" s="20">
        <v>3</v>
      </c>
      <c r="P12" s="30"/>
      <c r="Q12" s="30"/>
      <c r="R12" s="5">
        <v>10</v>
      </c>
      <c r="S12" s="21" t="e">
        <f t="shared" si="0"/>
        <v>#VALUE!</v>
      </c>
      <c r="U12" s="16" t="s">
        <v>3</v>
      </c>
      <c r="V12" s="26" t="e">
        <f>(YEAR($B$18)-YEAR(DATE(YEAR($B$18)-1,MONTH($B$13),DAY($B$13))))*12+MONTH($B$18)-MONTH(DATE(YEAR($B$18)-1,MONTH($B$13),DAY($B$13)))</f>
        <v>#VALUE!</v>
      </c>
    </row>
    <row r="13" spans="1:22" ht="12.75" customHeight="1" x14ac:dyDescent="0.25">
      <c r="A13" s="73" t="s">
        <v>14</v>
      </c>
      <c r="B13" s="110" t="str">
        <f>IF('HP Equipment 1'!B13="","",'HP Equipment 1'!B13)</f>
        <v/>
      </c>
      <c r="C13" s="74"/>
      <c r="E13" s="5" t="str">
        <f t="shared" si="2"/>
        <v/>
      </c>
      <c r="F13" s="6" t="str">
        <f>IF(IF(OR(I12="",I12=0),"",IF(ROUND(MIN($V$2*3,$B$36-SUM($J$6:$J12)),0)&lt;0,0,ROUND(MIN($V$2*3,$B$36-SUM($J$6:$J12)),0)))&gt;0,IF(OR(I12="",I12=0),"",IF(ROUND(MIN($V$2*3,$B$36-SUM($J$6:$J12)),0)&lt;0,0,ROUND(MIN($V$2*3,$B$36-SUM($J$6:$J12)),0))),0)</f>
        <v/>
      </c>
      <c r="G13" s="6" t="str">
        <f>IF(IF(OR(F13="",F13=0),"",IF(ROUND(MIN($V$2*3,$B$36-SUM($J$6:$J12)-SUM($F13:F13)),0)&lt;0,0,ROUND(MIN($V$2*3,$B$36-SUM($J$6:$J12)-SUM($F13:F13)),0)))&gt;0,IF(OR(F13="",F13=0),"",IF(ROUND(MIN($V$2*3,$B$36-SUM($J$6:$J12)-SUM($F13:F13)),0)&lt;0,0,ROUND(MIN($V$2*3,$B$36-SUM($J$6:$J12)-SUM($F13:F13)),0))),0)</f>
        <v/>
      </c>
      <c r="H13" s="6" t="str">
        <f>IF(IF(OR(G13="",G13=0),"",IF(ROUND(MIN($V$2*3,$B$36-SUM($J$6:$J12)-SUM($F13:G13)),0)&lt;0,0,ROUND(MIN($V$2*3,$B$36-SUM($J$6:$J12)-SUM($F13:G13)),0)))&gt;0,IF(OR(G13="",G13=0),"",IF(ROUND(MIN($V$2*3,$B$36-SUM($J$6:$J12)-SUM($F13:G13)),0)&lt;0,0,ROUND(MIN($V$2*3,$B$36-SUM($J$6:$J12)-SUM($F13:G13)),0))),0)</f>
        <v/>
      </c>
      <c r="I13" s="6" t="str">
        <f>IF(IF(OR(H13="",H13=0),"",IF(ROUND(MIN($V$2*3,$B$36-SUM($J$6:$J12)-SUM($F13:H13)),0)&lt;0,0,ROUND(MIN($V$2*3,$B$36-SUM($J$6:$J12)-SUM($F13:H13)),0)))&gt;0,IF(OR(H13="",H13=0),"",IF(ROUND(MIN($V$2*3,$B$36-SUM($J$6:$J12)-SUM($F13:H13)),0)&lt;0,0,ROUND(MIN($V$2*3,$B$36-SUM($J$6:$J12)-SUM($F13:H13)),0))),0)</f>
        <v/>
      </c>
      <c r="J13" s="7" t="str">
        <f t="shared" si="1"/>
        <v/>
      </c>
      <c r="L13" s="18">
        <v>11</v>
      </c>
      <c r="M13" s="19">
        <v>4</v>
      </c>
      <c r="N13" s="19">
        <v>11</v>
      </c>
      <c r="O13" s="20">
        <v>2</v>
      </c>
      <c r="P13" s="30"/>
      <c r="Q13" s="30"/>
      <c r="R13" s="5">
        <v>11</v>
      </c>
      <c r="S13" s="21" t="e">
        <f t="shared" si="0"/>
        <v>#VALUE!</v>
      </c>
      <c r="U13" s="22" t="s">
        <v>2</v>
      </c>
      <c r="V13" s="21" t="e">
        <f>LOOKUP(V12,$L$3:$L$26,$M$3:$M$26)</f>
        <v>#VALUE!</v>
      </c>
    </row>
    <row r="14" spans="1:22" ht="12.75" customHeight="1" thickBot="1" x14ac:dyDescent="0.3">
      <c r="A14" s="73" t="s">
        <v>86</v>
      </c>
      <c r="B14" s="58" t="str">
        <f>IF('HP Equipment 1'!B14="","",'HP Equipment 1'!B14)</f>
        <v/>
      </c>
      <c r="C14" s="74"/>
      <c r="E14" s="5" t="str">
        <f t="shared" si="2"/>
        <v/>
      </c>
      <c r="F14" s="6" t="str">
        <f>IF(IF(OR(I13="",I13=0),"",IF(ROUND(MIN($V$2*3,$B$36-SUM($J$6:$J13)),0)&lt;0,0,ROUND(MIN($V$2*3,$B$36-SUM($J$6:$J13)),0)))&gt;0,IF(OR(I13="",I13=0),"",IF(ROUND(MIN($V$2*3,$B$36-SUM($J$6:$J13)),0)&lt;0,0,ROUND(MIN($V$2*3,$B$36-SUM($J$6:$J13)),0))),0)</f>
        <v/>
      </c>
      <c r="G14" s="6" t="str">
        <f>IF(IF(OR(F14="",F14=0),"",IF(ROUND(MIN($V$2*3,$B$36-SUM($J$6:$J13)-SUM($F14:F14)),0)&lt;0,0,ROUND(MIN($V$2*3,$B$36-SUM($J$6:$J13)-SUM($F14:F14)),0)))&gt;0,IF(OR(F14="",F14=0),"",IF(ROUND(MIN($V$2*3,$B$36-SUM($J$6:$J13)-SUM($F14:F14)),0)&lt;0,0,ROUND(MIN($V$2*3,$B$36-SUM($J$6:$J13)-SUM($F14:F14)),0))),0)</f>
        <v/>
      </c>
      <c r="H14" s="6" t="str">
        <f>IF(IF(OR(G14="",G14=0),"",IF(ROUND(MIN($V$2*3,$B$36-SUM($J$6:$J13)-SUM($F14:G14)),0)&lt;0,0,ROUND(MIN($V$2*3,$B$36-SUM($J$6:$J13)-SUM($F14:G14)),0)))&gt;0,IF(OR(G14="",G14=0),"",IF(ROUND(MIN($V$2*3,$B$36-SUM($J$6:$J13)-SUM($F14:G14)),0)&lt;0,0,ROUND(MIN($V$2*3,$B$36-SUM($J$6:$J13)-SUM($F14:G14)),0))),0)</f>
        <v/>
      </c>
      <c r="I14" s="6" t="str">
        <f>IF(IF(OR(H14="",H14=0),"",IF(ROUND(MIN($V$2*3,$B$36-SUM($J$6:$J13)-SUM($F14:H14)),0)&lt;0,0,ROUND(MIN($V$2*3,$B$36-SUM($J$6:$J13)-SUM($F14:H14)),0)))&gt;0,IF(OR(H14="",H14=0),"",IF(ROUND(MIN($V$2*3,$B$36-SUM($J$6:$J13)-SUM($F14:H14)),0)&lt;0,0,ROUND(MIN($V$2*3,$B$36-SUM($J$6:$J13)-SUM($F14:H14)),0))),0)</f>
        <v/>
      </c>
      <c r="J14" s="7" t="str">
        <f t="shared" si="1"/>
        <v/>
      </c>
      <c r="L14" s="18">
        <v>12</v>
      </c>
      <c r="M14" s="19">
        <v>4</v>
      </c>
      <c r="N14" s="19">
        <v>12</v>
      </c>
      <c r="O14" s="20">
        <v>1</v>
      </c>
      <c r="R14" s="5">
        <v>12</v>
      </c>
      <c r="S14" s="21" t="e">
        <f t="shared" si="0"/>
        <v>#VALUE!</v>
      </c>
      <c r="U14" s="28" t="s">
        <v>9</v>
      </c>
      <c r="V14" s="29" t="e">
        <f>DATE(YEAR($B$42),MONTH($B$13),DAY($B$13))</f>
        <v>#VALUE!</v>
      </c>
    </row>
    <row r="15" spans="1:22" ht="12.75" customHeight="1" thickBot="1" x14ac:dyDescent="0.3">
      <c r="A15" s="73"/>
      <c r="B15" s="58"/>
      <c r="C15" s="74"/>
      <c r="E15" s="5" t="str">
        <f t="shared" si="2"/>
        <v/>
      </c>
      <c r="F15" s="6" t="str">
        <f>IF(IF(OR(I14="",I14=0),"",IF(ROUND(MIN($V$2*3,$B$36-SUM($J$6:$J14)),0)&lt;0,0,ROUND(MIN($V$2*3,$B$36-SUM($J$6:$J14)),0)))&gt;0,IF(OR(I14="",I14=0),"",IF(ROUND(MIN($V$2*3,$B$36-SUM($J$6:$J14)),0)&lt;0,0,ROUND(MIN($V$2*3,$B$36-SUM($J$6:$J14)),0))),0)</f>
        <v/>
      </c>
      <c r="G15" s="6" t="str">
        <f>IF(IF(OR(F15="",F15=0),"",IF(ROUND(MIN($V$2*3,$B$36-SUM($J$6:$J14)-SUM($F15:F15)),0)&lt;0,0,ROUND(MIN($V$2*3,$B$36-SUM($J$6:$J14)-SUM($F15:F15)),0)))&gt;0,IF(OR(F15="",F15=0),"",IF(ROUND(MIN($V$2*3,$B$36-SUM($J$6:$J14)-SUM($F15:F15)),0)&lt;0,0,ROUND(MIN($V$2*3,$B$36-SUM($J$6:$J14)-SUM($F15:F15)),0))),0)</f>
        <v/>
      </c>
      <c r="H15" s="6" t="str">
        <f>IF(IF(OR(G15="",G15=0),"",IF(ROUND(MIN($V$2*3,$B$36-SUM($J$6:$J14)-SUM($F15:G15)),0)&lt;0,0,ROUND(MIN($V$2*3,$B$36-SUM($J$6:$J14)-SUM($F15:G15)),0)))&gt;0,IF(OR(G15="",G15=0),"",IF(ROUND(MIN($V$2*3,$B$36-SUM($J$6:$J14)-SUM($F15:G15)),0)&lt;0,0,ROUND(MIN($V$2*3,$B$36-SUM($J$6:$J14)-SUM($F15:G15)),0))),0)</f>
        <v/>
      </c>
      <c r="I15" s="6" t="str">
        <f>IF(IF(OR(H15="",H15=0),"",IF(ROUND(MIN($V$2*3,$B$36-SUM($J$6:$J14)-SUM($F15:H15)),0)&lt;0,0,ROUND(MIN($V$2*3,$B$36-SUM($J$6:$J14)-SUM($F15:H15)),0)))&gt;0,IF(OR(H15="",H15=0),"",IF(ROUND(MIN($V$2*3,$B$36-SUM($J$6:$J14)-SUM($F15:H15)),0)&lt;0,0,ROUND(MIN($V$2*3,$B$36-SUM($J$6:$J14)-SUM($F15:H15)),0))),0)</f>
        <v/>
      </c>
      <c r="J15" s="7" t="str">
        <f t="shared" si="1"/>
        <v/>
      </c>
      <c r="L15" s="18">
        <v>13</v>
      </c>
      <c r="M15" s="19">
        <v>1</v>
      </c>
      <c r="N15" s="19">
        <v>13</v>
      </c>
      <c r="O15" s="20">
        <v>3</v>
      </c>
      <c r="R15" s="5">
        <v>13</v>
      </c>
      <c r="S15" s="21" t="e">
        <f t="shared" si="0"/>
        <v>#VALUE!</v>
      </c>
    </row>
    <row r="16" spans="1:22" ht="13.8" thickBot="1" x14ac:dyDescent="0.3">
      <c r="A16" s="70" t="s">
        <v>41</v>
      </c>
      <c r="B16" s="95"/>
      <c r="C16" s="72"/>
      <c r="E16" s="5" t="str">
        <f t="shared" si="2"/>
        <v/>
      </c>
      <c r="F16" s="6" t="str">
        <f>IF(IF(OR(I15="",I15=0),"",IF(ROUND(MIN($V$2*3,$B$36-SUM($J$6:$J15)),0)&lt;0,0,ROUND(MIN($V$2*3,$B$36-SUM($J$6:$J15)),0)))&gt;0,IF(OR(I15="",I15=0),"",IF(ROUND(MIN($V$2*3,$B$36-SUM($J$6:$J15)),0)&lt;0,0,ROUND(MIN($V$2*3,$B$36-SUM($J$6:$J15)),0))),0)</f>
        <v/>
      </c>
      <c r="G16" s="6" t="str">
        <f>IF(IF(OR(F16="",F16=0),"",IF(ROUND(MIN($V$2*3,$B$36-SUM($J$6:$J15)-SUM($F16:F16)),0)&lt;0,0,ROUND(MIN($V$2*3,$B$36-SUM($J$6:$J15)-SUM($F16:F16)),0)))&gt;0,IF(OR(F16="",F16=0),"",IF(ROUND(MIN($V$2*3,$B$36-SUM($J$6:$J15)-SUM($F16:F16)),0)&lt;0,0,ROUND(MIN($V$2*3,$B$36-SUM($J$6:$J15)-SUM($F16:F16)),0))),0)</f>
        <v/>
      </c>
      <c r="H16" s="6" t="str">
        <f>IF(IF(OR(G16="",G16=0),"",IF(ROUND(MIN($V$2*3,$B$36-SUM($J$6:$J15)-SUM($F16:G16)),0)&lt;0,0,ROUND(MIN($V$2*3,$B$36-SUM($J$6:$J15)-SUM($F16:G16)),0)))&gt;0,IF(OR(G16="",G16=0),"",IF(ROUND(MIN($V$2*3,$B$36-SUM($J$6:$J15)-SUM($F16:G16)),0)&lt;0,0,ROUND(MIN($V$2*3,$B$36-SUM($J$6:$J15)-SUM($F16:G16)),0))),0)</f>
        <v/>
      </c>
      <c r="I16" s="6" t="str">
        <f>IF(IF(OR(H16="",H16=0),"",IF(ROUND(MIN($V$2*3,$B$36-SUM($J$6:$J15)-SUM($F16:H16)),0)&lt;0,0,ROUND(MIN($V$2*3,$B$36-SUM($J$6:$J15)-SUM($F16:H16)),0)))&gt;0,IF(OR(H16="",H16=0),"",IF(ROUND(MIN($V$2*3,$B$36-SUM($J$6:$J15)-SUM($F16:H16)),0)&lt;0,0,ROUND(MIN($V$2*3,$B$36-SUM($J$6:$J15)-SUM($F16:H16)),0))),0)</f>
        <v/>
      </c>
      <c r="J16" s="7" t="str">
        <f t="shared" si="1"/>
        <v/>
      </c>
      <c r="L16" s="18">
        <v>14</v>
      </c>
      <c r="M16" s="19">
        <v>1</v>
      </c>
      <c r="N16" s="19">
        <v>14</v>
      </c>
      <c r="O16" s="20">
        <v>2</v>
      </c>
      <c r="R16" s="5">
        <v>14</v>
      </c>
      <c r="S16" s="21" t="e">
        <f t="shared" si="0"/>
        <v>#VALUE!</v>
      </c>
      <c r="U16" s="1" t="s">
        <v>49</v>
      </c>
    </row>
    <row r="17" spans="1:34" ht="12" customHeight="1" x14ac:dyDescent="0.25">
      <c r="A17" s="73" t="s">
        <v>27</v>
      </c>
      <c r="B17" s="75"/>
      <c r="C17" s="74"/>
      <c r="E17" s="5" t="str">
        <f t="shared" si="2"/>
        <v/>
      </c>
      <c r="F17" s="6" t="str">
        <f>IF(IF(OR(I16="",I16=0),"",IF(ROUND(MIN($V$2*3,$B$36-SUM($J$6:$J16)),0)&lt;0,0,ROUND(MIN($V$2*3,$B$36-SUM($J$6:$J16)),0)))&gt;0,IF(OR(I16="",I16=0),"",IF(ROUND(MIN($V$2*3,$B$36-SUM($J$6:$J16)),0)&lt;0,0,ROUND(MIN($V$2*3,$B$36-SUM($J$6:$J16)),0))),0)</f>
        <v/>
      </c>
      <c r="G17" s="6" t="str">
        <f>IF(IF(OR(F17="",F17=0),"",IF(ROUND(MIN($V$2*3,$B$36-SUM($J$6:$J16)-SUM($F17:F17)),0)&lt;0,0,ROUND(MIN($V$2*3,$B$36-SUM($J$6:$J16)-SUM($F17:F17)),0)))&gt;0,IF(OR(F17="",F17=0),"",IF(ROUND(MIN($V$2*3,$B$36-SUM($J$6:$J16)-SUM($F17:F17)),0)&lt;0,0,ROUND(MIN($V$2*3,$B$36-SUM($J$6:$J16)-SUM($F17:F17)),0))),0)</f>
        <v/>
      </c>
      <c r="H17" s="6" t="str">
        <f>IF(IF(OR(G17="",G17=0),"",IF(ROUND(MIN($V$2*3,$B$36-SUM($J$6:$J16)-SUM($F17:G17)),0)&lt;0,0,ROUND(MIN($V$2*3,$B$36-SUM($J$6:$J16)-SUM($F17:G17)),0)))&gt;0,IF(OR(G17="",G17=0),"",IF(ROUND(MIN($V$2*3,$B$36-SUM($J$6:$J16)-SUM($F17:G17)),0)&lt;0,0,ROUND(MIN($V$2*3,$B$36-SUM($J$6:$J16)-SUM($F17:G17)),0))),0)</f>
        <v/>
      </c>
      <c r="I17" s="6" t="str">
        <f>IF(IF(OR(H17="",H17=0),"",IF(ROUND(MIN($V$2*3,$B$36-SUM($J$6:$J16)-SUM($F17:H17)),0)&lt;0,0,ROUND(MIN($V$2*3,$B$36-SUM($J$6:$J16)-SUM($F17:H17)),0)))&gt;0,IF(OR(H17="",H17=0),"",IF(ROUND(MIN($V$2*3,$B$36-SUM($J$6:$J16)-SUM($F17:H17)),0)&lt;0,0,ROUND(MIN($V$2*3,$B$36-SUM($J$6:$J16)-SUM($F17:H17)),0))),0)</f>
        <v/>
      </c>
      <c r="J17" s="7" t="str">
        <f t="shared" si="1"/>
        <v/>
      </c>
      <c r="L17" s="18">
        <v>15</v>
      </c>
      <c r="M17" s="19">
        <v>1</v>
      </c>
      <c r="N17" s="19">
        <v>15</v>
      </c>
      <c r="O17" s="20">
        <v>1</v>
      </c>
      <c r="R17" s="5">
        <v>15</v>
      </c>
      <c r="S17" s="21" t="e">
        <f t="shared" si="0"/>
        <v>#VALUE!</v>
      </c>
      <c r="U17" s="104" t="s">
        <v>0</v>
      </c>
      <c r="V17" s="34" t="str">
        <f>IF(ISERROR(IF(B19&gt;V18,YEAR(V18)+2,YEAR(V18)+1)),"Please enter the correct relevant period",IF(B19&gt;V18,YEAR(V18)+2,YEAR(V18)+1))</f>
        <v>Please enter the correct relevant period</v>
      </c>
    </row>
    <row r="18" spans="1:34" ht="12" customHeight="1" thickBot="1" x14ac:dyDescent="0.3">
      <c r="A18" s="105" t="s">
        <v>48</v>
      </c>
      <c r="B18" s="76"/>
      <c r="C18" s="74"/>
      <c r="E18" s="5" t="str">
        <f t="shared" si="2"/>
        <v/>
      </c>
      <c r="F18" s="6" t="str">
        <f>IF(IF(OR(I17="",I17=0),"",IF(ROUND(MIN($V$2*3,$B$36-SUM($J$6:$J17)),0)&lt;0,0,ROUND(MIN($V$2*3,$B$36-SUM($J$6:$J17)),0)))&gt;0,IF(OR(I17="",I17=0),"",IF(ROUND(MIN($V$2*3,$B$36-SUM($J$6:$J17)),0)&lt;0,0,ROUND(MIN($V$2*3,$B$36-SUM($J$6:$J17)),0))),0)</f>
        <v/>
      </c>
      <c r="G18" s="6" t="str">
        <f>IF(IF(OR(F18="",F18=0),"",IF(ROUND(MIN($V$2*3,$B$36-SUM($J$6:$J17)-SUM($F18:F18)),0)&lt;0,0,ROUND(MIN($V$2*3,$B$36-SUM($J$6:$J17)-SUM($F18:F18)),0)))&gt;0,IF(OR(F18="",F18=0),"",IF(ROUND(MIN($V$2*3,$B$36-SUM($J$6:$J17)-SUM($F18:F18)),0)&lt;0,0,ROUND(MIN($V$2*3,$B$36-SUM($J$6:$J17)-SUM($F18:F18)),0))),0)</f>
        <v/>
      </c>
      <c r="H18" s="6" t="str">
        <f>IF(IF(OR(G18="",G18=0),"",IF(ROUND(MIN($V$2*3,$B$36-SUM($J$6:$J17)-SUM($F18:G18)),0)&lt;0,0,ROUND(MIN($V$2*3,$B$36-SUM($J$6:$J17)-SUM($F18:G18)),0)))&gt;0,IF(OR(G18="",G18=0),"",IF(ROUND(MIN($V$2*3,$B$36-SUM($J$6:$J17)-SUM($F18:G18)),0)&lt;0,0,ROUND(MIN($V$2*3,$B$36-SUM($J$6:$J17)-SUM($F18:G18)),0))),0)</f>
        <v/>
      </c>
      <c r="I18" s="6" t="str">
        <f>IF(IF(OR(H18="",H18=0),"",IF(ROUND(MIN($V$2*3,$B$36-SUM($J$6:$J17)-SUM($F18:H18)),0)&lt;0,0,ROUND(MIN($V$2*3,$B$36-SUM($J$6:$J17)-SUM($F18:H18)),0)))&gt;0,IF(OR(H18="",H18=0),"",IF(ROUND(MIN($V$2*3,$B$36-SUM($J$6:$J17)-SUM($F18:H18)),0)&lt;0,0,ROUND(MIN($V$2*3,$B$36-SUM($J$6:$J17)-SUM($F18:H18)),0))),0)</f>
        <v/>
      </c>
      <c r="J18" s="7" t="str">
        <f t="shared" si="1"/>
        <v/>
      </c>
      <c r="L18" s="18">
        <v>16</v>
      </c>
      <c r="M18" s="19">
        <v>2</v>
      </c>
      <c r="N18" s="19">
        <v>16</v>
      </c>
      <c r="O18" s="20">
        <v>3</v>
      </c>
      <c r="R18" s="5">
        <v>16</v>
      </c>
      <c r="S18" s="21" t="e">
        <f t="shared" si="0"/>
        <v>#VALUE!</v>
      </c>
      <c r="U18" s="28" t="s">
        <v>9</v>
      </c>
      <c r="V18" s="103" t="e">
        <f>DATE(YEAR($B$19),MONTH($B$13),DAY($B$13))</f>
        <v>#VALUE!</v>
      </c>
    </row>
    <row r="19" spans="1:34" ht="12" customHeight="1" x14ac:dyDescent="0.25">
      <c r="A19" s="73" t="s">
        <v>47</v>
      </c>
      <c r="B19" s="77"/>
      <c r="C19" s="74"/>
      <c r="E19" s="5" t="str">
        <f t="shared" si="2"/>
        <v/>
      </c>
      <c r="F19" s="6" t="str">
        <f>IF(IF(OR(I18="",I18=0),"",IF(ROUND(MIN($V$2*3,$B$36-SUM($J$6:$J18)),0)&lt;0,0,ROUND(MIN($V$2*3,$B$36-SUM($J$6:$J18)),0)))&gt;0,IF(OR(I18="",I18=0),"",IF(ROUND(MIN($V$2*3,$B$36-SUM($J$6:$J18)),0)&lt;0,0,ROUND(MIN($V$2*3,$B$36-SUM($J$6:$J18)),0))),0)</f>
        <v/>
      </c>
      <c r="G19" s="6" t="str">
        <f>IF(IF(OR(F19="",F19=0),"",IF(ROUND(MIN($V$2*3,$B$36-SUM($J$6:$J18)-SUM($F19:F19)),0)&lt;0,0,ROUND(MIN($V$2*3,$B$36-SUM($J$6:$J18)-SUM($F19:F19)),0)))&gt;0,IF(OR(F19="",F19=0),"",IF(ROUND(MIN($V$2*3,$B$36-SUM($J$6:$J18)-SUM($F19:F19)),0)&lt;0,0,ROUND(MIN($V$2*3,$B$36-SUM($J$6:$J18)-SUM($F19:F19)),0))),0)</f>
        <v/>
      </c>
      <c r="H19" s="6" t="str">
        <f>IF(IF(OR(G19="",G19=0),"",IF(ROUND(MIN($V$2*3,$B$36-SUM($J$6:$J18)-SUM($F19:G19)),0)&lt;0,0,ROUND(MIN($V$2*3,$B$36-SUM($J$6:$J18)-SUM($F19:G19)),0)))&gt;0,IF(OR(G19="",G19=0),"",IF(ROUND(MIN($V$2*3,$B$36-SUM($J$6:$J18)-SUM($F19:G19)),0)&lt;0,0,ROUND(MIN($V$2*3,$B$36-SUM($J$6:$J18)-SUM($F19:G19)),0))),0)</f>
        <v/>
      </c>
      <c r="I19" s="6" t="str">
        <f>IF(IF(OR(H19="",H19=0),"",IF(ROUND(MIN($V$2*3,$B$36-SUM($J$6:$J18)-SUM($F19:H19)),0)&lt;0,0,ROUND(MIN($V$2*3,$B$36-SUM($J$6:$J18)-SUM($F19:H19)),0)))&gt;0,IF(OR(H19="",H19=0),"",IF(ROUND(MIN($V$2*3,$B$36-SUM($J$6:$J18)-SUM($F19:H19)),0)&lt;0,0,ROUND(MIN($V$2*3,$B$36-SUM($J$6:$J18)-SUM($F19:H19)),0))),0)</f>
        <v/>
      </c>
      <c r="J19" s="7" t="str">
        <f t="shared" si="1"/>
        <v/>
      </c>
      <c r="L19" s="18">
        <v>17</v>
      </c>
      <c r="M19" s="19">
        <v>2</v>
      </c>
      <c r="N19" s="19">
        <v>17</v>
      </c>
      <c r="O19" s="20">
        <v>2</v>
      </c>
      <c r="R19" s="5">
        <v>17</v>
      </c>
      <c r="S19" s="21" t="e">
        <f t="shared" si="0"/>
        <v>#VALUE!</v>
      </c>
    </row>
    <row r="20" spans="1:34" ht="12" customHeight="1" thickBot="1" x14ac:dyDescent="0.3">
      <c r="A20" s="73" t="s">
        <v>26</v>
      </c>
      <c r="B20" s="78"/>
      <c r="C20" s="74"/>
      <c r="E20" s="5" t="str">
        <f t="shared" si="2"/>
        <v/>
      </c>
      <c r="F20" s="6" t="str">
        <f>IF(IF(OR(I19="",I19=0),"",IF(ROUND(MIN($V$2*3,$B$36-SUM($J$6:$J19)),0)&lt;0,0,ROUND(MIN($V$2*3,$B$36-SUM($J$6:$J19)),0)))&gt;0,IF(OR(I19="",I19=0),"",IF(ROUND(MIN($V$2*3,$B$36-SUM($J$6:$J19)),0)&lt;0,0,ROUND(MIN($V$2*3,$B$36-SUM($J$6:$J19)),0))),0)</f>
        <v/>
      </c>
      <c r="G20" s="6" t="str">
        <f>IF(IF(OR(F20="",F20=0),"",IF(ROUND(MIN($V$2*3,$B$36-SUM($J$6:$J19)-SUM($F20:F20)),0)&lt;0,0,ROUND(MIN($V$2*3,$B$36-SUM($J$6:$J19)-SUM($F20:F20)),0)))&gt;0,IF(OR(F20="",F20=0),"",IF(ROUND(MIN($V$2*3,$B$36-SUM($J$6:$J19)-SUM($F20:F20)),0)&lt;0,0,ROUND(MIN($V$2*3,$B$36-SUM($J$6:$J19)-SUM($F20:F20)),0))),0)</f>
        <v/>
      </c>
      <c r="H20" s="6" t="str">
        <f>IF(IF(OR(G20="",G20=0),"",IF(ROUND(MIN($V$2*3,$B$36-SUM($J$6:$J19)-SUM($F20:G20)),0)&lt;0,0,ROUND(MIN($V$2*3,$B$36-SUM($J$6:$J19)-SUM($F20:G20)),0)))&gt;0,IF(OR(G20="",G20=0),"",IF(ROUND(MIN($V$2*3,$B$36-SUM($J$6:$J19)-SUM($F20:G20)),0)&lt;0,0,ROUND(MIN($V$2*3,$B$36-SUM($J$6:$J19)-SUM($F20:G20)),0))),0)</f>
        <v/>
      </c>
      <c r="I20" s="6" t="str">
        <f>IF(IF(OR(H20="",H20=0),"",IF(ROUND(MIN($V$2*3,$B$36-SUM($J$6:$J19)-SUM($F20:H20)),0)&lt;0,0,ROUND(MIN($V$2*3,$B$36-SUM($J$6:$J19)-SUM($F20:H20)),0)))&gt;0,IF(OR(H20="",H20=0),"",IF(ROUND(MIN($V$2*3,$B$36-SUM($J$6:$J19)-SUM($F20:H20)),0)&lt;0,0,ROUND(MIN($V$2*3,$B$36-SUM($J$6:$J19)-SUM($F20:H20)),0))),0)</f>
        <v/>
      </c>
      <c r="J20" s="7" t="str">
        <f t="shared" si="1"/>
        <v/>
      </c>
      <c r="L20" s="18">
        <v>18</v>
      </c>
      <c r="M20" s="19">
        <v>2</v>
      </c>
      <c r="N20" s="19">
        <v>18</v>
      </c>
      <c r="O20" s="20">
        <v>1</v>
      </c>
      <c r="R20" s="5">
        <v>18</v>
      </c>
      <c r="S20" s="21" t="e">
        <f t="shared" si="0"/>
        <v>#VALUE!</v>
      </c>
      <c r="U20" s="1" t="s">
        <v>50</v>
      </c>
    </row>
    <row r="21" spans="1:34" ht="12" customHeight="1" x14ac:dyDescent="0.25">
      <c r="A21" s="73" t="s">
        <v>30</v>
      </c>
      <c r="B21" s="79"/>
      <c r="C21" s="74"/>
      <c r="E21" s="5" t="str">
        <f t="shared" si="2"/>
        <v/>
      </c>
      <c r="F21" s="6" t="str">
        <f>IF(IF(OR(I20="",I20=0),"",IF(ROUND(MIN($V$2*3,$B$36-SUM($J$6:$J20)),0)&lt;0,0,ROUND(MIN($V$2*3,$B$36-SUM($J$6:$J20)),0)))&gt;0,IF(OR(I20="",I20=0),"",IF(ROUND(MIN($V$2*3,$B$36-SUM($J$6:$J20)),0)&lt;0,0,ROUND(MIN($V$2*3,$B$36-SUM($J$6:$J20)),0))),0)</f>
        <v/>
      </c>
      <c r="G21" s="6" t="str">
        <f>IF(IF(OR(F21="",F21=0),"",IF(ROUND(MIN($V$2*3,$B$36-SUM($J$6:$J20)-SUM($F21:F21)),0)&lt;0,0,ROUND(MIN($V$2*3,$B$36-SUM($J$6:$J20)-SUM($F21:F21)),0)))&gt;0,IF(OR(F21="",F21=0),"",IF(ROUND(MIN($V$2*3,$B$36-SUM($J$6:$J20)-SUM($F21:F21)),0)&lt;0,0,ROUND(MIN($V$2*3,$B$36-SUM($J$6:$J20)-SUM($F21:F21)),0))),0)</f>
        <v/>
      </c>
      <c r="H21" s="6" t="str">
        <f>IF(IF(OR(G21="",G21=0),"",IF(ROUND(MIN($V$2*3,$B$36-SUM($J$6:$J20)-SUM($F21:G21)),0)&lt;0,0,ROUND(MIN($V$2*3,$B$36-SUM($J$6:$J20)-SUM($F21:G21)),0)))&gt;0,IF(OR(G21="",G21=0),"",IF(ROUND(MIN($V$2*3,$B$36-SUM($J$6:$J20)-SUM($F21:G21)),0)&lt;0,0,ROUND(MIN($V$2*3,$B$36-SUM($J$6:$J20)-SUM($F21:G21)),0))),0)</f>
        <v/>
      </c>
      <c r="I21" s="6" t="str">
        <f>IF(IF(OR(H21="",H21=0),"",IF(ROUND(MIN($V$2*3,$B$36-SUM($J$6:$J20)-SUM($F21:H21)),0)&lt;0,0,ROUND(MIN($V$2*3,$B$36-SUM($J$6:$J20)-SUM($F21:H21)),0)))&gt;0,IF(OR(H21="",H21=0),"",IF(ROUND(MIN($V$2*3,$B$36-SUM($J$6:$J20)-SUM($F21:H21)),0)&lt;0,0,ROUND(MIN($V$2*3,$B$36-SUM($J$6:$J20)-SUM($F21:H21)),0))),0)</f>
        <v/>
      </c>
      <c r="J21" s="7" t="str">
        <f t="shared" si="1"/>
        <v/>
      </c>
      <c r="L21" s="18">
        <v>19</v>
      </c>
      <c r="M21" s="19">
        <v>3</v>
      </c>
      <c r="N21" s="19">
        <v>19</v>
      </c>
      <c r="O21" s="20">
        <v>3</v>
      </c>
      <c r="R21" s="5">
        <v>19</v>
      </c>
      <c r="S21" s="21" t="e">
        <f t="shared" si="0"/>
        <v>#VALUE!</v>
      </c>
      <c r="U21" s="104" t="s">
        <v>0</v>
      </c>
      <c r="V21" s="34" t="str">
        <f>IF(ISERROR(IF(B18&gt;V22,YEAR(V22)+2,YEAR(V22)+1)),"Please enter the correct relevant period",IF(B18&gt;V22,YEAR(V22)+2,YEAR(V22)+1))</f>
        <v>Please enter the correct relevant period</v>
      </c>
    </row>
    <row r="22" spans="1:34" ht="12" customHeight="1" thickBot="1" x14ac:dyDescent="0.3">
      <c r="A22" s="73" t="s">
        <v>28</v>
      </c>
      <c r="B22" s="79"/>
      <c r="C22" s="74"/>
      <c r="E22" s="5" t="str">
        <f t="shared" si="2"/>
        <v/>
      </c>
      <c r="F22" s="6" t="str">
        <f>IF(IF(OR(I21="",I21=0),"",IF(ROUND(MIN($V$2*3,$B$36-SUM($J$6:$J21)),0)&lt;0,0,ROUND(MIN($V$2*3,$B$36-SUM($J$6:$J21)),0)))&gt;0,IF(OR(I21="",I21=0),"",IF(ROUND(MIN($V$2*3,$B$36-SUM($J$6:$J21)),0)&lt;0,0,ROUND(MIN($V$2*3,$B$36-SUM($J$6:$J21)),0))),0)</f>
        <v/>
      </c>
      <c r="G22" s="6" t="str">
        <f>IF(IF(OR(F22="",F22=0),"",IF(ROUND(MIN($V$2*3,$B$36-SUM($J$6:$J21)-SUM($F22:F22)),0)&lt;0,0,ROUND(MIN($V$2*3,$B$36-SUM($J$6:$J21)-SUM($F22:F22)),0)))&gt;0,IF(OR(F22="",F22=0),"",IF(ROUND(MIN($V$2*3,$B$36-SUM($J$6:$J21)-SUM($F22:F22)),0)&lt;0,0,ROUND(MIN($V$2*3,$B$36-SUM($J$6:$J21)-SUM($F22:F22)),0))),0)</f>
        <v/>
      </c>
      <c r="H22" s="6" t="str">
        <f>IF(IF(OR(G22="",G22=0),"",IF(ROUND(MIN($V$2*3,$B$36-SUM($J$6:$J21)-SUM($F22:G22)),0)&lt;0,0,ROUND(MIN($V$2*3,$B$36-SUM($J$6:$J21)-SUM($F22:G22)),0)))&gt;0,IF(OR(G22="",G22=0),"",IF(ROUND(MIN($V$2*3,$B$36-SUM($J$6:$J21)-SUM($F22:G22)),0)&lt;0,0,ROUND(MIN($V$2*3,$B$36-SUM($J$6:$J21)-SUM($F22:G22)),0))),0)</f>
        <v/>
      </c>
      <c r="I22" s="6" t="str">
        <f>IF(IF(OR(H22="",H22=0),"",IF(ROUND(MIN($V$2*3,$B$36-SUM($J$6:$J21)-SUM($F22:H22)),0)&lt;0,0,ROUND(MIN($V$2*3,$B$36-SUM($J$6:$J21)-SUM($F22:H22)),0)))&gt;0,IF(OR(H22="",H22=0),"",IF(ROUND(MIN($V$2*3,$B$36-SUM($J$6:$J21)-SUM($F22:H22)),0)&lt;0,0,ROUND(MIN($V$2*3,$B$36-SUM($J$6:$J21)-SUM($F22:H22)),0))),0)</f>
        <v/>
      </c>
      <c r="J22" s="7" t="str">
        <f t="shared" si="1"/>
        <v/>
      </c>
      <c r="L22" s="18">
        <v>20</v>
      </c>
      <c r="M22" s="19">
        <v>3</v>
      </c>
      <c r="N22" s="19">
        <v>20</v>
      </c>
      <c r="O22" s="20">
        <v>2</v>
      </c>
      <c r="R22" s="5">
        <v>20</v>
      </c>
      <c r="S22" s="21" t="e">
        <f t="shared" si="0"/>
        <v>#VALUE!</v>
      </c>
      <c r="U22" s="28" t="s">
        <v>9</v>
      </c>
      <c r="V22" s="103" t="e">
        <f>DATE(YEAR($B$18),MONTH($B$13),DAY($B$13))</f>
        <v>#VALUE!</v>
      </c>
    </row>
    <row r="23" spans="1:34" ht="12" customHeight="1" x14ac:dyDescent="0.25">
      <c r="A23" s="73" t="s">
        <v>29</v>
      </c>
      <c r="B23" s="79"/>
      <c r="C23" s="74"/>
      <c r="E23" s="5" t="str">
        <f t="shared" si="2"/>
        <v/>
      </c>
      <c r="F23" s="6" t="str">
        <f>IF(IF(OR(I22="",I22=0),"",IF(ROUND(MIN($V$2*3,$B$36-SUM($J$6:$J22)),0)&lt;0,0,ROUND(MIN($V$2*3,$B$36-SUM($J$6:$J22)),0)))&gt;0,IF(OR(I22="",I22=0),"",IF(ROUND(MIN($V$2*3,$B$36-SUM($J$6:$J22)),0)&lt;0,0,ROUND(MIN($V$2*3,$B$36-SUM($J$6:$J22)),0))),0)</f>
        <v/>
      </c>
      <c r="G23" s="6" t="str">
        <f>IF(IF(OR(F23="",F23=0),"",IF(ROUND(MIN($V$2*3,$B$36-SUM($J$6:$J22)-SUM($F23:F23)),0)&lt;0,0,ROUND(MIN($V$2*3,$B$36-SUM($J$6:$J22)-SUM($F23:F23)),0)))&gt;0,IF(OR(F23="",F23=0),"",IF(ROUND(MIN($V$2*3,$B$36-SUM($J$6:$J22)-SUM($F23:F23)),0)&lt;0,0,ROUND(MIN($V$2*3,$B$36-SUM($J$6:$J22)-SUM($F23:F23)),0))),0)</f>
        <v/>
      </c>
      <c r="H23" s="6" t="str">
        <f>IF(IF(OR(G23="",G23=0),"",IF(ROUND(MIN($V$2*3,$B$36-SUM($J$6:$J22)-SUM($F23:G23)),0)&lt;0,0,ROUND(MIN($V$2*3,$B$36-SUM($J$6:$J22)-SUM($F23:G23)),0)))&gt;0,IF(OR(G23="",G23=0),"",IF(ROUND(MIN($V$2*3,$B$36-SUM($J$6:$J22)-SUM($F23:G23)),0)&lt;0,0,ROUND(MIN($V$2*3,$B$36-SUM($J$6:$J22)-SUM($F23:G23)),0))),0)</f>
        <v/>
      </c>
      <c r="I23" s="6" t="str">
        <f>IF(IF(OR(H23="",H23=0),"",IF(ROUND(MIN($V$2*3,$B$36-SUM($J$6:$J22)-SUM($F23:H23)),0)&lt;0,0,ROUND(MIN($V$2*3,$B$36-SUM($J$6:$J22)-SUM($F23:H23)),0)))&gt;0,IF(OR(H23="",H23=0),"",IF(ROUND(MIN($V$2*3,$B$36-SUM($J$6:$J22)-SUM($F23:H23)),0)&lt;0,0,ROUND(MIN($V$2*3,$B$36-SUM($J$6:$J22)-SUM($F23:H23)),0))),0)</f>
        <v/>
      </c>
      <c r="J23" s="7" t="str">
        <f t="shared" si="1"/>
        <v/>
      </c>
      <c r="L23" s="18">
        <v>21</v>
      </c>
      <c r="M23" s="19">
        <v>3</v>
      </c>
      <c r="N23" s="19">
        <v>21</v>
      </c>
      <c r="O23" s="20">
        <v>1</v>
      </c>
      <c r="R23" s="5">
        <v>21</v>
      </c>
      <c r="S23" s="21" t="e">
        <f t="shared" si="0"/>
        <v>#VALUE!</v>
      </c>
    </row>
    <row r="24" spans="1:34" ht="12" customHeight="1" thickBot="1" x14ac:dyDescent="0.3">
      <c r="A24" s="73"/>
      <c r="B24" s="58"/>
      <c r="C24" s="74"/>
      <c r="E24" s="5" t="str">
        <f t="shared" si="2"/>
        <v/>
      </c>
      <c r="F24" s="6" t="str">
        <f>IF(IF(OR(I23="",I23=0),"",IF(ROUND(MIN($V$2*3,$B$36-SUM($J$6:$J23)),0)&lt;0,0,ROUND(MIN($V$2*3,$B$36-SUM($J$6:$J23)),0)))&gt;0,IF(OR(I23="",I23=0),"",IF(ROUND(MIN($V$2*3,$B$36-SUM($J$6:$J23)),0)&lt;0,0,ROUND(MIN($V$2*3,$B$36-SUM($J$6:$J23)),0))),0)</f>
        <v/>
      </c>
      <c r="G24" s="6" t="str">
        <f>IF(IF(OR(F24="",F24=0),"",IF(ROUND(MIN($V$2*3,$B$36-SUM($J$6:$J23)-SUM($F24:F24)),0)&lt;0,0,ROUND(MIN($V$2*3,$B$36-SUM($J$6:$J23)-SUM($F24:F24)),0)))&gt;0,IF(OR(F24="",F24=0),"",IF(ROUND(MIN($V$2*3,$B$36-SUM($J$6:$J23)-SUM($F24:F24)),0)&lt;0,0,ROUND(MIN($V$2*3,$B$36-SUM($J$6:$J23)-SUM($F24:F24)),0))),0)</f>
        <v/>
      </c>
      <c r="H24" s="6" t="str">
        <f>IF(IF(OR(G24="",G24=0),"",IF(ROUND(MIN($V$2*3,$B$36-SUM($J$6:$J23)-SUM($F24:G24)),0)&lt;0,0,ROUND(MIN($V$2*3,$B$36-SUM($J$6:$J23)-SUM($F24:G24)),0)))&gt;0,IF(OR(G24="",G24=0),"",IF(ROUND(MIN($V$2*3,$B$36-SUM($J$6:$J23)-SUM($F24:G24)),0)&lt;0,0,ROUND(MIN($V$2*3,$B$36-SUM($J$6:$J23)-SUM($F24:G24)),0))),0)</f>
        <v/>
      </c>
      <c r="I24" s="6" t="str">
        <f>IF(IF(OR(H24="",H24=0),"",IF(ROUND(MIN($V$2*3,$B$36-SUM($J$6:$J23)-SUM($F24:H24)),0)&lt;0,0,ROUND(MIN($V$2*3,$B$36-SUM($J$6:$J23)-SUM($F24:H24)),0)))&gt;0,IF(OR(H24="",H24=0),"",IF(ROUND(MIN($V$2*3,$B$36-SUM($J$6:$J23)-SUM($F24:H24)),0)&lt;0,0,ROUND(MIN($V$2*3,$B$36-SUM($J$6:$J23)-SUM($F24:H24)),0))),0)</f>
        <v/>
      </c>
      <c r="J24" s="7" t="str">
        <f t="shared" si="1"/>
        <v/>
      </c>
      <c r="L24" s="18">
        <v>22</v>
      </c>
      <c r="M24" s="19">
        <v>4</v>
      </c>
      <c r="N24" s="19">
        <v>22</v>
      </c>
      <c r="O24" s="20">
        <v>3</v>
      </c>
      <c r="R24" s="5">
        <v>22</v>
      </c>
      <c r="S24" s="21" t="e">
        <f t="shared" si="0"/>
        <v>#VALUE!</v>
      </c>
      <c r="U24" s="31"/>
      <c r="W24" s="137" t="s">
        <v>10</v>
      </c>
      <c r="X24" s="137"/>
      <c r="Y24" s="137"/>
      <c r="Z24" s="137"/>
    </row>
    <row r="25" spans="1:34" x14ac:dyDescent="0.25">
      <c r="A25" s="73" t="s">
        <v>25</v>
      </c>
      <c r="B25" s="80"/>
      <c r="C25" s="74"/>
      <c r="E25" s="5" t="str">
        <f t="shared" si="2"/>
        <v/>
      </c>
      <c r="F25" s="6" t="str">
        <f>IF(IF(OR(I24="",I24=0),"",IF(ROUND(MIN($V$2*3,$B$36-SUM($J$6:$J24)),0)&lt;0,0,ROUND(MIN($V$2*3,$B$36-SUM($J$6:$J24)),0)))&gt;0,IF(OR(I24="",I24=0),"",IF(ROUND(MIN($V$2*3,$B$36-SUM($J$6:$J24)),0)&lt;0,0,ROUND(MIN($V$2*3,$B$36-SUM($J$6:$J24)),0))),0)</f>
        <v/>
      </c>
      <c r="G25" s="6" t="str">
        <f>IF(IF(OR(F25="",F25=0),"",IF(ROUND(MIN($V$2*3,$B$36-SUM($J$6:$J24)-SUM($F25:F25)),0)&lt;0,0,ROUND(MIN($V$2*3,$B$36-SUM($J$6:$J24)-SUM($F25:F25)),0)))&gt;0,IF(OR(F25="",F25=0),"",IF(ROUND(MIN($V$2*3,$B$36-SUM($J$6:$J24)-SUM($F25:F25)),0)&lt;0,0,ROUND(MIN($V$2*3,$B$36-SUM($J$6:$J24)-SUM($F25:F25)),0))),0)</f>
        <v/>
      </c>
      <c r="H25" s="6" t="str">
        <f>IF(IF(OR(G25="",G25=0),"",IF(ROUND(MIN($V$2*3,$B$36-SUM($J$6:$J24)-SUM($F25:G25)),0)&lt;0,0,ROUND(MIN($V$2*3,$B$36-SUM($J$6:$J24)-SUM($F25:G25)),0)))&gt;0,IF(OR(G25="",G25=0),"",IF(ROUND(MIN($V$2*3,$B$36-SUM($J$6:$J24)-SUM($F25:G25)),0)&lt;0,0,ROUND(MIN($V$2*3,$B$36-SUM($J$6:$J24)-SUM($F25:G25)),0))),0)</f>
        <v/>
      </c>
      <c r="I25" s="6" t="str">
        <f>IF(IF(OR(H25="",H25=0),"",IF(ROUND(MIN($V$2*3,$B$36-SUM($J$6:$J24)-SUM($F25:H25)),0)&lt;0,0,ROUND(MIN($V$2*3,$B$36-SUM($J$6:$J24)-SUM($F25:H25)),0)))&gt;0,IF(OR(H25="",H25=0),"",IF(ROUND(MIN($V$2*3,$B$36-SUM($J$6:$J24)-SUM($F25:H25)),0)&lt;0,0,ROUND(MIN($V$2*3,$B$36-SUM($J$6:$J24)-SUM($F25:H25)),0))),0)</f>
        <v/>
      </c>
      <c r="J25" s="7" t="str">
        <f t="shared" si="1"/>
        <v/>
      </c>
      <c r="L25" s="18">
        <v>23</v>
      </c>
      <c r="M25" s="19">
        <v>4</v>
      </c>
      <c r="N25" s="19">
        <v>23</v>
      </c>
      <c r="O25" s="20">
        <v>2</v>
      </c>
      <c r="R25" s="5">
        <v>23</v>
      </c>
      <c r="S25" s="21" t="e">
        <f t="shared" si="0"/>
        <v>#VALUE!</v>
      </c>
      <c r="U25" s="138" t="s">
        <v>2</v>
      </c>
      <c r="V25" s="32"/>
      <c r="W25" s="33">
        <v>2</v>
      </c>
      <c r="X25" s="33">
        <v>5</v>
      </c>
      <c r="Y25" s="33">
        <v>8</v>
      </c>
      <c r="Z25" s="34">
        <v>11</v>
      </c>
    </row>
    <row r="26" spans="1:34" ht="13.8" thickBot="1" x14ac:dyDescent="0.3">
      <c r="A26" s="73" t="s">
        <v>31</v>
      </c>
      <c r="B26" s="81"/>
      <c r="C26" s="74"/>
      <c r="E26" s="5" t="str">
        <f t="shared" si="2"/>
        <v/>
      </c>
      <c r="F26" s="6" t="str">
        <f>IF(IF(OR(I25="",I25=0),"",IF(ROUND(MIN($V$2*3,$B$36-SUM($J$6:$J25)),0)&lt;0,0,ROUND(MIN($V$2*3,$B$36-SUM($J$6:$J25)),0)))&gt;0,IF(OR(I25="",I25=0),"",IF(ROUND(MIN($V$2*3,$B$36-SUM($J$6:$J25)),0)&lt;0,0,ROUND(MIN($V$2*3,$B$36-SUM($J$6:$J25)),0))),0)</f>
        <v/>
      </c>
      <c r="G26" s="6" t="str">
        <f>IF(IF(OR(F26="",F26=0),"",IF(ROUND(MIN($V$2*3,$B$36-SUM($J$6:$J25)-SUM($F26:F26)),0)&lt;0,0,ROUND(MIN($V$2*3,$B$36-SUM($J$6:$J25)-SUM($F26:F26)),0)))&gt;0,IF(OR(F26="",F26=0),"",IF(ROUND(MIN($V$2*3,$B$36-SUM($J$6:$J25)-SUM($F26:F26)),0)&lt;0,0,ROUND(MIN($V$2*3,$B$36-SUM($J$6:$J25)-SUM($F26:F26)),0))),0)</f>
        <v/>
      </c>
      <c r="H26" s="6" t="str">
        <f>IF(IF(OR(G26="",G26=0),"",IF(ROUND(MIN($V$2*3,$B$36-SUM($J$6:$J25)-SUM($F26:G26)),0)&lt;0,0,ROUND(MIN($V$2*3,$B$36-SUM($J$6:$J25)-SUM($F26:G26)),0)))&gt;0,IF(OR(G26="",G26=0),"",IF(ROUND(MIN($V$2*3,$B$36-SUM($J$6:$J25)-SUM($F26:G26)),0)&lt;0,0,ROUND(MIN($V$2*3,$B$36-SUM($J$6:$J25)-SUM($F26:G26)),0))),0)</f>
        <v/>
      </c>
      <c r="I26" s="6" t="str">
        <f>IF(IF(OR(H26="",H26=0),"",IF(ROUND(MIN($V$2*3,$B$36-SUM($J$6:$J25)-SUM($F26:H26)),0)&lt;0,0,ROUND(MIN($V$2*3,$B$36-SUM($J$6:$J25)-SUM($F26:H26)),0)))&gt;0,IF(OR(H26="",H26=0),"",IF(ROUND(MIN($V$2*3,$B$36-SUM($J$6:$J25)-SUM($F26:H26)),0)&lt;0,0,ROUND(MIN($V$2*3,$B$36-SUM($J$6:$J25)-SUM($F26:H26)),0))),0)</f>
        <v/>
      </c>
      <c r="J26" s="7" t="str">
        <f t="shared" si="1"/>
        <v/>
      </c>
      <c r="L26" s="46">
        <v>24</v>
      </c>
      <c r="M26" s="47">
        <v>4</v>
      </c>
      <c r="N26" s="47">
        <v>24</v>
      </c>
      <c r="O26" s="48">
        <v>1</v>
      </c>
      <c r="R26" s="5">
        <v>24</v>
      </c>
      <c r="S26" s="21" t="e">
        <f t="shared" si="0"/>
        <v>#VALUE!</v>
      </c>
      <c r="U26" s="138"/>
      <c r="V26" s="5" t="e">
        <f>TEXT(MONTH(DATE(2013,MONTH(B13)+1,1)),0)</f>
        <v>#VALUE!</v>
      </c>
      <c r="W26" s="35">
        <f>IF(INDEX($F$6:$I$35,MATCH($B$45,$E$6:$E$35,0),1)="",0,INDEX($F$6:$I$35,MATCH($B$45,$E$6:$E$35,0),1))</f>
        <v>0</v>
      </c>
      <c r="X26" s="35">
        <f>IF(INDEX($F$6:$I$35,MATCH($B$45,$E$6:$E$35,0),1)="",0,INDEX($F$6:$I$35,MATCH($B$45,$E$6:$E$35,0),1))+IF(INDEX($F$6:$I$35,MATCH($B$45,$E$6:$E$35,0),2)="",0,INDEX($F$6:$I$35,MATCH($B$45,$E$6:$E$35,0),2))</f>
        <v>0</v>
      </c>
      <c r="Y26" s="126">
        <f>IF(INDEX($F$6:$I$35,MATCH($B$45,$E$6:$E$35,0),1)="",0,INDEX($F$6:$I$35,MATCH($B$45,$E$6:$E$35,0),1))+IF(INDEX($F$6:$I$35,MATCH($B$45,$E$6:$E$35,0),2)="",0,INDEX($F$6:$I$35,MATCH($B$45,$E$6:$E$35,0),2))+IF(INDEX($F$6:$I$35,MATCH($B$45,$E$6:$E$35,0),3)="",0,INDEX($F$6:$I$35,MATCH($B$45,$E$6:$E$35,0),3))</f>
        <v>0</v>
      </c>
      <c r="Z26" s="36">
        <f>IF(INDEX($F$6:$I$35,MATCH($B$45,$E$6:$E$35,0),1)="",0,INDEX($F$6:$I$35,MATCH($B$45,$E$6:$E$35,0),1))+IF(INDEX($F$6:$I$35,MATCH($B$45,$E$6:$E$35,0),2)="",0,INDEX($F$6:$I$35,MATCH($B$45,$E$6:$E$35,0),2))+IF(INDEX($F$6:$I$35,MATCH($B$45,$E$6:$E$35,0),3)="",0,INDEX($F$6:$I$35,MATCH($B$45,$E$6:$E$35,0),3))+IF(INDEX($F$6:$I$35,MATCH($B$45,$E$6:$E$35,0),4)="",0,INDEX($F$6:$I$35,MATCH($B$45,$E$6:$E$35,0),4))</f>
        <v>0</v>
      </c>
    </row>
    <row r="27" spans="1:34" ht="13.8" thickBot="1" x14ac:dyDescent="0.3">
      <c r="A27" s="73" t="s">
        <v>33</v>
      </c>
      <c r="B27" s="82">
        <f>SUM(B25:B26)</f>
        <v>0</v>
      </c>
      <c r="C27" s="74"/>
      <c r="E27" s="5" t="str">
        <f t="shared" si="2"/>
        <v/>
      </c>
      <c r="F27" s="6" t="str">
        <f>IF(IF(OR(I26="",I26=0),"",IF(ROUND(MIN($V$2*3,$B$36-SUM($J$6:$J26)),0)&lt;0,0,ROUND(MIN($V$2*3,$B$36-SUM($J$6:$J26)),0)))&gt;0,IF(OR(I26="",I26=0),"",IF(ROUND(MIN($V$2*3,$B$36-SUM($J$6:$J26)),0)&lt;0,0,ROUND(MIN($V$2*3,$B$36-SUM($J$6:$J26)),0))),0)</f>
        <v/>
      </c>
      <c r="G27" s="6" t="str">
        <f>IF(IF(OR(F27="",F27=0),"",IF(ROUND(MIN($V$2*3,$B$36-SUM($J$6:$J26)-SUM($F27:F27)),0)&lt;0,0,ROUND(MIN($V$2*3,$B$36-SUM($J$6:$J26)-SUM($F27:F27)),0)))&gt;0,IF(OR(F27="",F27=0),"",IF(ROUND(MIN($V$2*3,$B$36-SUM($J$6:$J26)-SUM($F27:F27)),0)&lt;0,0,ROUND(MIN($V$2*3,$B$36-SUM($J$6:$J26)-SUM($F27:F27)),0))),0)</f>
        <v/>
      </c>
      <c r="H27" s="6" t="str">
        <f>IF(IF(OR(G27="",G27=0),"",IF(ROUND(MIN($V$2*3,$B$36-SUM($J$6:$J26)-SUM($F27:G27)),0)&lt;0,0,ROUND(MIN($V$2*3,$B$36-SUM($J$6:$J26)-SUM($F27:G27)),0)))&gt;0,IF(OR(G27="",G27=0),"",IF(ROUND(MIN($V$2*3,$B$36-SUM($J$6:$J26)-SUM($F27:G27)),0)&lt;0,0,ROUND(MIN($V$2*3,$B$36-SUM($J$6:$J26)-SUM($F27:G27)),0))),0)</f>
        <v/>
      </c>
      <c r="I27" s="6" t="str">
        <f>IF(IF(OR(H27="",H27=0),"",IF(ROUND(MIN($V$2*3,$B$36-SUM($J$6:$J26)-SUM($F27:H27)),0)&lt;0,0,ROUND(MIN($V$2*3,$B$36-SUM($J$6:$J26)-SUM($F27:H27)),0)))&gt;0,IF(OR(H27="",H27=0),"",IF(ROUND(MIN($V$2*3,$B$36-SUM($J$6:$J26)-SUM($F27:H27)),0)&lt;0,0,ROUND(MIN($V$2*3,$B$36-SUM($J$6:$J26)-SUM($F27:H27)),0))),0)</f>
        <v/>
      </c>
      <c r="J27" s="7" t="str">
        <f t="shared" si="1"/>
        <v/>
      </c>
      <c r="R27" s="5">
        <v>25</v>
      </c>
      <c r="S27" s="21" t="e">
        <f t="shared" si="0"/>
        <v>#VALUE!</v>
      </c>
      <c r="U27" s="138"/>
      <c r="V27" s="5" t="e">
        <f>TEXT(MONTH(DATE(2013,MONTH(B13)+4,1)),0)</f>
        <v>#VALUE!</v>
      </c>
      <c r="W27" s="35">
        <f>IF(INDEX($F$6:$I$35,MATCH($B$45,$E$6:$E$35,0),2)="",0,INDEX($F$6:$I$35,MATCH($B$45,$E$6:$E$35,0),2))</f>
        <v>0</v>
      </c>
      <c r="X27" s="35">
        <f>IF(INDEX($F$6:$I$35,MATCH($B$45,$E$6:$E$35,0),2)="",0,INDEX($F$6:$I$35,MATCH($B$45,$E$6:$E$35,0),2))+IF(INDEX($F$6:$I$35,MATCH($B$45,$E$6:$E$35,0),3)="",0,INDEX($F$6:$I$35,MATCH($B$45,$E$6:$E$35,0),3))</f>
        <v>0</v>
      </c>
      <c r="Y27" s="35">
        <f>IF(INDEX($F$6:$I$35,MATCH($B$45,$E$6:$E$35,0),2)="",0,INDEX($F$6:$I$35,MATCH($B$45,$E$6:$E$35,0),2))+IF(INDEX($F$6:$I$35,MATCH($B$45,$E$6:$E$35,0),3)="",0,INDEX($F$6:$I$35,MATCH($B$45,$E$6:$E$35,0),3))+IF(INDEX($F$6:$I$35,MATCH($B$45,$E$6:$E$35,0),4)="",0,INDEX($F$6:$I$35,MATCH($B$45,$E$6:$E$35,0),4))</f>
        <v>0</v>
      </c>
      <c r="Z27" s="37" t="s">
        <v>8</v>
      </c>
    </row>
    <row r="28" spans="1:34" x14ac:dyDescent="0.25">
      <c r="A28" s="73"/>
      <c r="B28" s="58"/>
      <c r="C28" s="74"/>
      <c r="E28" s="5" t="str">
        <f t="shared" si="2"/>
        <v/>
      </c>
      <c r="F28" s="6" t="str">
        <f>IF(IF(OR(I27="",I27=0),"",IF(ROUND(MIN($V$2*3,$B$36-SUM($J$6:$J27)),0)&lt;0,0,ROUND(MIN($V$2*3,$B$36-SUM($J$6:$J27)),0)))&gt;0,IF(OR(I27="",I27=0),"",IF(ROUND(MIN($V$2*3,$B$36-SUM($J$6:$J27)),0)&lt;0,0,ROUND(MIN($V$2*3,$B$36-SUM($J$6:$J27)),0))),0)</f>
        <v/>
      </c>
      <c r="G28" s="6" t="str">
        <f>IF(IF(OR(F28="",F28=0),"",IF(ROUND(MIN($V$2*3,$B$36-SUM($J$6:$J27)-SUM($F28:F28)),0)&lt;0,0,ROUND(MIN($V$2*3,$B$36-SUM($J$6:$J27)-SUM($F28:F28)),0)))&gt;0,IF(OR(F28="",F28=0),"",IF(ROUND(MIN($V$2*3,$B$36-SUM($J$6:$J27)-SUM($F28:F28)),0)&lt;0,0,ROUND(MIN($V$2*3,$B$36-SUM($J$6:$J27)-SUM($F28:F28)),0))),0)</f>
        <v/>
      </c>
      <c r="H28" s="6" t="str">
        <f>IF(IF(OR(G28="",G28=0),"",IF(ROUND(MIN($V$2*3,$B$36-SUM($J$6:$J27)-SUM($F28:G28)),0)&lt;0,0,ROUND(MIN($V$2*3,$B$36-SUM($J$6:$J27)-SUM($F28:G28)),0)))&gt;0,IF(OR(G28="",G28=0),"",IF(ROUND(MIN($V$2*3,$B$36-SUM($J$6:$J27)-SUM($F28:G28)),0)&lt;0,0,ROUND(MIN($V$2*3,$B$36-SUM($J$6:$J27)-SUM($F28:G28)),0))),0)</f>
        <v/>
      </c>
      <c r="I28" s="6" t="str">
        <f>IF(IF(OR(H28="",H28=0),"",IF(ROUND(MIN($V$2*3,$B$36-SUM($J$6:$J27)-SUM($F28:H28)),0)&lt;0,0,ROUND(MIN($V$2*3,$B$36-SUM($J$6:$J27)-SUM($F28:H28)),0)))&gt;0,IF(OR(H28="",H28=0),"",IF(ROUND(MIN($V$2*3,$B$36-SUM($J$6:$J27)-SUM($F28:H28)),0)&lt;0,0,ROUND(MIN($V$2*3,$B$36-SUM($J$6:$J27)-SUM($F28:H28)),0))),0)</f>
        <v/>
      </c>
      <c r="J28" s="7" t="str">
        <f t="shared" si="1"/>
        <v/>
      </c>
      <c r="L28" s="16" t="s">
        <v>2</v>
      </c>
      <c r="M28" s="49">
        <v>1</v>
      </c>
      <c r="N28" s="49">
        <v>2</v>
      </c>
      <c r="O28" s="49">
        <v>3</v>
      </c>
      <c r="P28" s="26">
        <v>4</v>
      </c>
      <c r="Q28" s="50"/>
      <c r="R28" s="5">
        <v>26</v>
      </c>
      <c r="S28" s="21" t="e">
        <f t="shared" si="0"/>
        <v>#VALUE!</v>
      </c>
      <c r="U28" s="138"/>
      <c r="V28" s="5" t="e">
        <f>TEXT(MONTH(DATE(2013,MONTH(B13)+7,1)),0)</f>
        <v>#VALUE!</v>
      </c>
      <c r="W28" s="35">
        <f>IF(INDEX($F$6:$I$35,MATCH($B$45,$E$6:$E$35,0),3)="",0,INDEX($F$6:$I$35,MATCH($B$45,$E$6:$E$35,0),3))</f>
        <v>0</v>
      </c>
      <c r="X28" s="35">
        <f>IF(INDEX($F$6:$I$35,MATCH($B$45,$E$6:$E$35,0),3)="",0,INDEX($F$6:$I$35,MATCH($B$45,$E$6:$E$35,0),3))+IF(INDEX($F$6:$I$35,MATCH($B$45,$E$6:$E$35,0),4)="",0,INDEX($F$6:$I$35,MATCH($B$45,$E$6:$E$35,0),4))</f>
        <v>0</v>
      </c>
      <c r="Y28" s="38" t="s">
        <v>8</v>
      </c>
      <c r="Z28" s="37" t="s">
        <v>8</v>
      </c>
    </row>
    <row r="29" spans="1:34" ht="12" customHeight="1" thickBot="1" x14ac:dyDescent="0.3">
      <c r="A29" s="73" t="s">
        <v>32</v>
      </c>
      <c r="B29" s="80"/>
      <c r="C29" s="74"/>
      <c r="E29" s="5" t="str">
        <f t="shared" si="2"/>
        <v/>
      </c>
      <c r="F29" s="6" t="str">
        <f>IF(IF(OR(I28="",I28=0),"",IF(ROUND(MIN($V$2*3,$B$36-SUM($J$6:$J28)),0)&lt;0,0,ROUND(MIN($V$2*3,$B$36-SUM($J$6:$J28)),0)))&gt;0,IF(OR(I28="",I28=0),"",IF(ROUND(MIN($V$2*3,$B$36-SUM($J$6:$J28)),0)&lt;0,0,ROUND(MIN($V$2*3,$B$36-SUM($J$6:$J28)),0))),0)</f>
        <v/>
      </c>
      <c r="G29" s="6" t="str">
        <f>IF(IF(OR(F29="",F29=0),"",IF(ROUND(MIN($V$2*3,$B$36-SUM($J$6:$J28)-SUM($F29:F29)),0)&lt;0,0,ROUND(MIN($V$2*3,$B$36-SUM($J$6:$J28)-SUM($F29:F29)),0)))&gt;0,IF(OR(F29="",F29=0),"",IF(ROUND(MIN($V$2*3,$B$36-SUM($J$6:$J28)-SUM($F29:F29)),0)&lt;0,0,ROUND(MIN($V$2*3,$B$36-SUM($J$6:$J28)-SUM($F29:F29)),0))),0)</f>
        <v/>
      </c>
      <c r="H29" s="6" t="str">
        <f>IF(IF(OR(G29="",G29=0),"",IF(ROUND(MIN($V$2*3,$B$36-SUM($J$6:$J28)-SUM($F29:G29)),0)&lt;0,0,ROUND(MIN($V$2*3,$B$36-SUM($J$6:$J28)-SUM($F29:G29)),0)))&gt;0,IF(OR(G29="",G29=0),"",IF(ROUND(MIN($V$2*3,$B$36-SUM($J$6:$J28)-SUM($F29:G29)),0)&lt;0,0,ROUND(MIN($V$2*3,$B$36-SUM($J$6:$J28)-SUM($F29:G29)),0))),0)</f>
        <v/>
      </c>
      <c r="I29" s="6" t="str">
        <f>IF(IF(OR(H29="",H29=0),"",IF(ROUND(MIN($V$2*3,$B$36-SUM($J$6:$J28)-SUM($F29:H29)),0)&lt;0,0,ROUND(MIN($V$2*3,$B$36-SUM($J$6:$J28)-SUM($F29:H29)),0)))&gt;0,IF(OR(H29="",H29=0),"",IF(ROUND(MIN($V$2*3,$B$36-SUM($J$6:$J28)-SUM($F29:H29)),0)&lt;0,0,ROUND(MIN($V$2*3,$B$36-SUM($J$6:$J28)-SUM($F29:H29)),0))),0)</f>
        <v/>
      </c>
      <c r="J29" s="7" t="str">
        <f t="shared" si="1"/>
        <v/>
      </c>
      <c r="L29" s="24" t="s">
        <v>5</v>
      </c>
      <c r="M29" s="51" t="e">
        <f>IF($V$8&lt;&gt;M28,"",LOOKUP($V$7,$N$3:$N$26,$O$3:$O$26))</f>
        <v>#VALUE!</v>
      </c>
      <c r="N29" s="51" t="e">
        <f>IF($V$8&lt;&gt;N28,"",LOOKUP($V$7,$N$3:$N$26,$O$3:$O$26))</f>
        <v>#VALUE!</v>
      </c>
      <c r="O29" s="51" t="e">
        <f>IF($V$8&lt;&gt;O28,"",LOOKUP($V$7,$N$3:$N$26,$O$3:$O$26))</f>
        <v>#VALUE!</v>
      </c>
      <c r="P29" s="52" t="e">
        <f>IF($V$8&lt;&gt;P28,"",LOOKUP($V$7,$N$3:$N$26,$O$3:$O$26))</f>
        <v>#VALUE!</v>
      </c>
      <c r="Q29" s="27"/>
      <c r="R29" s="5">
        <v>27</v>
      </c>
      <c r="S29" s="21" t="e">
        <f t="shared" si="0"/>
        <v>#VALUE!</v>
      </c>
      <c r="U29" s="138"/>
      <c r="V29" s="10" t="e">
        <f>TEXT(MONTH(DATE(2013,MONTH(B13)+10,1)),0)</f>
        <v>#VALUE!</v>
      </c>
      <c r="W29" s="39">
        <f>IF(INDEX($F$6:$I$35,MATCH($B$45,$E$6:$E$35,0),4)="",0,INDEX($F$6:$I$35,MATCH($B$45,$E$6:$E$35,0),4))</f>
        <v>0</v>
      </c>
      <c r="X29" s="40" t="s">
        <v>8</v>
      </c>
      <c r="Y29" s="40" t="s">
        <v>8</v>
      </c>
      <c r="Z29" s="41" t="s">
        <v>8</v>
      </c>
    </row>
    <row r="30" spans="1:34" ht="12" customHeight="1" thickBot="1" x14ac:dyDescent="0.3">
      <c r="A30" s="73" t="s">
        <v>18</v>
      </c>
      <c r="B30" s="79"/>
      <c r="C30" s="74"/>
      <c r="E30" s="5" t="str">
        <f t="shared" si="2"/>
        <v/>
      </c>
      <c r="F30" s="6" t="str">
        <f>IF(IF(OR(I29="",I29=0),"",IF(ROUND(MIN($V$2*3,$B$36-SUM($J$6:$J29)),0)&lt;0,0,ROUND(MIN($V$2*3,$B$36-SUM($J$6:$J29)),0)))&gt;0,IF(OR(I29="",I29=0),"",IF(ROUND(MIN($V$2*3,$B$36-SUM($J$6:$J29)),0)&lt;0,0,ROUND(MIN($V$2*3,$B$36-SUM($J$6:$J29)),0))),0)</f>
        <v/>
      </c>
      <c r="G30" s="6" t="str">
        <f>IF(IF(OR(F30="",F30=0),"",IF(ROUND(MIN($V$2*3,$B$36-SUM($J$6:$J29)-SUM($F30:F30)),0)&lt;0,0,ROUND(MIN($V$2*3,$B$36-SUM($J$6:$J29)-SUM($F30:F30)),0)))&gt;0,IF(OR(F30="",F30=0),"",IF(ROUND(MIN($V$2*3,$B$36-SUM($J$6:$J29)-SUM($F30:F30)),0)&lt;0,0,ROUND(MIN($V$2*3,$B$36-SUM($J$6:$J29)-SUM($F30:F30)),0))),0)</f>
        <v/>
      </c>
      <c r="H30" s="6" t="str">
        <f>IF(IF(OR(G30="",G30=0),"",IF(ROUND(MIN($V$2*3,$B$36-SUM($J$6:$J29)-SUM($F30:G30)),0)&lt;0,0,ROUND(MIN($V$2*3,$B$36-SUM($J$6:$J29)-SUM($F30:G30)),0)))&gt;0,IF(OR(G30="",G30=0),"",IF(ROUND(MIN($V$2*3,$B$36-SUM($J$6:$J29)-SUM($F30:G30)),0)&lt;0,0,ROUND(MIN($V$2*3,$B$36-SUM($J$6:$J29)-SUM($F30:G30)),0))),0)</f>
        <v/>
      </c>
      <c r="I30" s="6" t="str">
        <f>IF(IF(OR(H30="",H30=0),"",IF(ROUND(MIN($V$2*3,$B$36-SUM($J$6:$J29)-SUM($F30:H30)),0)&lt;0,0,ROUND(MIN($V$2*3,$B$36-SUM($J$6:$J29)-SUM($F30:H30)),0)))&gt;0,IF(OR(H30="",H30=0),"",IF(ROUND(MIN($V$2*3,$B$36-SUM($J$6:$J29)-SUM($F30:H30)),0)&lt;0,0,ROUND(MIN($V$2*3,$B$36-SUM($J$6:$J29)-SUM($F30:H30)),0))),0)</f>
        <v/>
      </c>
      <c r="J30" s="7" t="str">
        <f t="shared" si="1"/>
        <v/>
      </c>
      <c r="R30" s="5">
        <v>28</v>
      </c>
      <c r="S30" s="21" t="e">
        <f t="shared" si="0"/>
        <v>#VALUE!</v>
      </c>
    </row>
    <row r="31" spans="1:34" x14ac:dyDescent="0.25">
      <c r="A31" s="73"/>
      <c r="B31" s="58"/>
      <c r="C31" s="74"/>
      <c r="E31" s="5" t="str">
        <f t="shared" si="2"/>
        <v/>
      </c>
      <c r="F31" s="6" t="str">
        <f>IF(IF(OR(I30="",I30=0),"",IF(ROUND(MIN($V$2*3,$B$36-SUM($J$6:$J30)),0)&lt;0,0,ROUND(MIN($V$2*3,$B$36-SUM($J$6:$J30)),0)))&gt;0,IF(OR(I30="",I30=0),"",IF(ROUND(MIN($V$2*3,$B$36-SUM($J$6:$J30)),0)&lt;0,0,ROUND(MIN($V$2*3,$B$36-SUM($J$6:$J30)),0))),0)</f>
        <v/>
      </c>
      <c r="G31" s="6" t="str">
        <f>IF(IF(OR(F31="",F31=0),"",IF(ROUND(MIN($V$2*3,$B$36-SUM($J$6:$J30)-SUM($F31:F31)),0)&lt;0,0,ROUND(MIN($V$2*3,$B$36-SUM($J$6:$J30)-SUM($F31:F31)),0)))&gt;0,IF(OR(F31="",F31=0),"",IF(ROUND(MIN($V$2*3,$B$36-SUM($J$6:$J30)-SUM($F31:F31)),0)&lt;0,0,ROUND(MIN($V$2*3,$B$36-SUM($J$6:$J30)-SUM($F31:F31)),0))),0)</f>
        <v/>
      </c>
      <c r="H31" s="6" t="str">
        <f>IF(IF(OR(G31="",G31=0),"",IF(ROUND(MIN($V$2*3,$B$36-SUM($J$6:$J30)-SUM($F31:G31)),0)&lt;0,0,ROUND(MIN($V$2*3,$B$36-SUM($J$6:$J30)-SUM($F31:G31)),0)))&gt;0,IF(OR(G31="",G31=0),"",IF(ROUND(MIN($V$2*3,$B$36-SUM($J$6:$J30)-SUM($F31:G31)),0)&lt;0,0,ROUND(MIN($V$2*3,$B$36-SUM($J$6:$J30)-SUM($F31:G31)),0))),0)</f>
        <v/>
      </c>
      <c r="I31" s="6" t="str">
        <f>IF(IF(OR(H31="",H31=0),"",IF(ROUND(MIN($V$2*3,$B$36-SUM($J$6:$J30)-SUM($F31:H31)),0)&lt;0,0,ROUND(MIN($V$2*3,$B$36-SUM($J$6:$J30)-SUM($F31:H31)),0)))&gt;0,IF(OR(H31="",H31=0),"",IF(ROUND(MIN($V$2*3,$B$36-SUM($J$6:$J30)-SUM($F31:H31)),0)&lt;0,0,ROUND(MIN($V$2*3,$B$36-SUM($J$6:$J30)-SUM($F31:H31)),0))),0)</f>
        <v/>
      </c>
      <c r="J31" s="7" t="str">
        <f t="shared" si="1"/>
        <v/>
      </c>
      <c r="R31" s="5">
        <v>29</v>
      </c>
      <c r="S31" s="21" t="e">
        <f t="shared" si="0"/>
        <v>#VALUE!</v>
      </c>
      <c r="V31" s="32"/>
      <c r="W31" s="42">
        <v>41305</v>
      </c>
      <c r="X31" s="42">
        <v>41333</v>
      </c>
      <c r="Y31" s="42">
        <v>41364</v>
      </c>
      <c r="Z31" s="42">
        <v>41394</v>
      </c>
      <c r="AA31" s="42">
        <v>41425</v>
      </c>
      <c r="AB31" s="42">
        <v>41455</v>
      </c>
      <c r="AC31" s="42">
        <v>41486</v>
      </c>
      <c r="AD31" s="42">
        <v>41517</v>
      </c>
      <c r="AE31" s="42">
        <v>41547</v>
      </c>
      <c r="AF31" s="42">
        <v>41578</v>
      </c>
      <c r="AG31" s="42">
        <v>41608</v>
      </c>
      <c r="AH31" s="43">
        <v>41639</v>
      </c>
    </row>
    <row r="32" spans="1:34" x14ac:dyDescent="0.25">
      <c r="A32" s="73" t="s">
        <v>90</v>
      </c>
      <c r="B32" s="81"/>
      <c r="C32" s="74"/>
      <c r="E32" s="5" t="str">
        <f t="shared" si="2"/>
        <v/>
      </c>
      <c r="F32" s="6" t="str">
        <f>IF(IF(OR(I31="",I31=0),"",IF(ROUND(MIN($V$2*3,$B$36-SUM($J$6:$J31)),0)&lt;0,0,ROUND(MIN($V$2*3,$B$36-SUM($J$6:$J31)),0)))&gt;0,IF(OR(I31="",I31=0),"",IF(ROUND(MIN($V$2*3,$B$36-SUM($J$6:$J31)),0)&lt;0,0,ROUND(MIN($V$2*3,$B$36-SUM($J$6:$J31)),0))),0)</f>
        <v/>
      </c>
      <c r="G32" s="6" t="str">
        <f>IF(IF(OR(F32="",F32=0),"",IF(ROUND(MIN($V$2*3,$B$36-SUM($J$6:$J31)-SUM($F32:F32)),0)&lt;0,0,ROUND(MIN($V$2*3,$B$36-SUM($J$6:$J31)-SUM($F32:F32)),0)))&gt;0,IF(OR(F32="",F32=0),"",IF(ROUND(MIN($V$2*3,$B$36-SUM($J$6:$J31)-SUM($F32:F32)),0)&lt;0,0,ROUND(MIN($V$2*3,$B$36-SUM($J$6:$J31)-SUM($F32:F32)),0))),0)</f>
        <v/>
      </c>
      <c r="H32" s="6" t="str">
        <f>IF(IF(OR(G32="",G32=0),"",IF(ROUND(MIN($V$2*3,$B$36-SUM($J$6:$J31)-SUM($F32:G32)),0)&lt;0,0,ROUND(MIN($V$2*3,$B$36-SUM($J$6:$J31)-SUM($F32:G32)),0)))&gt;0,IF(OR(G32="",G32=0),"",IF(ROUND(MIN($V$2*3,$B$36-SUM($J$6:$J31)-SUM($F32:G32)),0)&lt;0,0,ROUND(MIN($V$2*3,$B$36-SUM($J$6:$J31)-SUM($F32:G32)),0))),0)</f>
        <v/>
      </c>
      <c r="I32" s="6" t="str">
        <f>IF(IF(OR(H32="",H32=0),"",IF(ROUND(MIN($V$2*3,$B$36-SUM($J$6:$J31)-SUM($F32:H32)),0)&lt;0,0,ROUND(MIN($V$2*3,$B$36-SUM($J$6:$J31)-SUM($F32:H32)),0)))&gt;0,IF(OR(H32="",H32=0),"",IF(ROUND(MIN($V$2*3,$B$36-SUM($J$6:$J31)-SUM($F32:H32)),0)&lt;0,0,ROUND(MIN($V$2*3,$B$36-SUM($J$6:$J31)-SUM($F32:H32)),0))),0)</f>
        <v/>
      </c>
      <c r="J32" s="7" t="str">
        <f t="shared" si="1"/>
        <v/>
      </c>
      <c r="R32" s="5">
        <v>30</v>
      </c>
      <c r="S32" s="21" t="e">
        <f t="shared" si="0"/>
        <v>#VALUE!</v>
      </c>
      <c r="V32" s="44">
        <v>1</v>
      </c>
      <c r="W32" s="38">
        <v>1</v>
      </c>
      <c r="X32" s="38">
        <v>1</v>
      </c>
      <c r="Y32" s="38">
        <v>1</v>
      </c>
      <c r="Z32" s="38">
        <v>1</v>
      </c>
      <c r="AA32" s="38">
        <v>1</v>
      </c>
      <c r="AB32" s="38">
        <v>1</v>
      </c>
      <c r="AC32" s="38">
        <v>1</v>
      </c>
      <c r="AD32" s="38">
        <v>1</v>
      </c>
      <c r="AE32" s="38">
        <v>1</v>
      </c>
      <c r="AF32" s="38">
        <v>1</v>
      </c>
      <c r="AG32" s="38">
        <v>1</v>
      </c>
      <c r="AH32" s="37">
        <v>1</v>
      </c>
    </row>
    <row r="33" spans="1:34" ht="13.8" thickBot="1" x14ac:dyDescent="0.3">
      <c r="A33" s="73" t="s">
        <v>19</v>
      </c>
      <c r="B33" s="109">
        <f>'HP Equipment 1'!B33</f>
        <v>0</v>
      </c>
      <c r="C33" s="74"/>
      <c r="E33" s="5" t="str">
        <f t="shared" si="2"/>
        <v/>
      </c>
      <c r="F33" s="6" t="str">
        <f>IF(IF(OR(I32="",I32=0),"",IF(ROUND(MIN($V$2*3,$B$36-SUM($J$6:$J32)),0)&lt;0,0,ROUND(MIN($V$2*3,$B$36-SUM($J$6:$J32)),0)))&gt;0,IF(OR(I32="",I32=0),"",IF(ROUND(MIN($V$2*3,$B$36-SUM($J$6:$J32)),0)&lt;0,0,ROUND(MIN($V$2*3,$B$36-SUM($J$6:$J32)),0))),0)</f>
        <v/>
      </c>
      <c r="G33" s="6" t="str">
        <f>IF(IF(OR(F33="",F33=0),"",IF(ROUND(MIN($V$2*3,$B$36-SUM($J$6:$J32)-SUM($F33:F33)),0)&lt;0,0,ROUND(MIN($V$2*3,$B$36-SUM($J$6:$J32)-SUM($F33:F33)),0)))&gt;0,IF(OR(F33="",F33=0),"",IF(ROUND(MIN($V$2*3,$B$36-SUM($J$6:$J32)-SUM($F33:F33)),0)&lt;0,0,ROUND(MIN($V$2*3,$B$36-SUM($J$6:$J32)-SUM($F33:F33)),0))),0)</f>
        <v/>
      </c>
      <c r="H33" s="6" t="str">
        <f>IF(IF(OR(G33="",G33=0),"",IF(ROUND(MIN($V$2*3,$B$36-SUM($J$6:$J32)-SUM($F33:G33)),0)&lt;0,0,ROUND(MIN($V$2*3,$B$36-SUM($J$6:$J32)-SUM($F33:G33)),0)))&gt;0,IF(OR(G33="",G33=0),"",IF(ROUND(MIN($V$2*3,$B$36-SUM($J$6:$J32)-SUM($F33:G33)),0)&lt;0,0,ROUND(MIN($V$2*3,$B$36-SUM($J$6:$J32)-SUM($F33:G33)),0))),0)</f>
        <v/>
      </c>
      <c r="I33" s="6" t="str">
        <f>IF(IF(OR(H33="",H33=0),"",IF(ROUND(MIN($V$2*3,$B$36-SUM($J$6:$J32)-SUM($F33:H33)),0)&lt;0,0,ROUND(MIN($V$2*3,$B$36-SUM($J$6:$J32)-SUM($F33:H33)),0)))&gt;0,IF(OR(H33="",H33=0),"",IF(ROUND(MIN($V$2*3,$B$36-SUM($J$6:$J32)-SUM($F33:H33)),0)&lt;0,0,ROUND(MIN($V$2*3,$B$36-SUM($J$6:$J32)-SUM($F33:H33)),0))),0)</f>
        <v/>
      </c>
      <c r="J33" s="7" t="str">
        <f t="shared" si="1"/>
        <v/>
      </c>
      <c r="R33" s="46">
        <v>31</v>
      </c>
      <c r="S33" s="48" t="e">
        <f t="shared" si="0"/>
        <v>#VALUE!</v>
      </c>
      <c r="V33" s="44">
        <v>2</v>
      </c>
      <c r="W33" s="38">
        <v>2</v>
      </c>
      <c r="X33" s="38">
        <v>1</v>
      </c>
      <c r="Y33" s="38">
        <v>1</v>
      </c>
      <c r="Z33" s="38">
        <v>1</v>
      </c>
      <c r="AA33" s="38">
        <v>1</v>
      </c>
      <c r="AB33" s="38">
        <v>1</v>
      </c>
      <c r="AC33" s="38">
        <v>1</v>
      </c>
      <c r="AD33" s="38">
        <v>1</v>
      </c>
      <c r="AE33" s="38">
        <v>1</v>
      </c>
      <c r="AF33" s="38">
        <v>1</v>
      </c>
      <c r="AG33" s="38">
        <v>1</v>
      </c>
      <c r="AH33" s="37">
        <v>1</v>
      </c>
    </row>
    <row r="34" spans="1:34" ht="13.8" thickBot="1" x14ac:dyDescent="0.3">
      <c r="A34" s="73" t="s">
        <v>37</v>
      </c>
      <c r="B34" s="83">
        <f>'HP Equipment 1'!B35</f>
        <v>0</v>
      </c>
      <c r="C34" s="74"/>
      <c r="E34" s="5" t="str">
        <f t="shared" si="2"/>
        <v/>
      </c>
      <c r="F34" s="6" t="str">
        <f>IF(IF(OR(I33="",I33=0),"",IF(ROUND(MIN($V$2*3,$B$36-SUM($J$6:$J33)),0)&lt;0,0,ROUND(MIN($V$2*3,$B$36-SUM($J$6:$J33)),0)))&gt;0,IF(OR(I33="",I33=0),"",IF(ROUND(MIN($V$2*3,$B$36-SUM($J$6:$J33)),0)&lt;0,0,ROUND(MIN($V$2*3,$B$36-SUM($J$6:$J33)),0))),0)</f>
        <v/>
      </c>
      <c r="G34" s="6" t="str">
        <f>IF(IF(OR(F34="",F34=0),"",IF(ROUND(MIN($V$2*3,$B$36-SUM($J$6:$J33)-SUM($F34:F34)),0)&lt;0,0,ROUND(MIN($V$2*3,$B$36-SUM($J$6:$J33)-SUM($F34:F34)),0)))&gt;0,IF(OR(F34="",F34=0),"",IF(ROUND(MIN($V$2*3,$B$36-SUM($J$6:$J33)-SUM($F34:F34)),0)&lt;0,0,ROUND(MIN($V$2*3,$B$36-SUM($J$6:$J33)-SUM($F34:F34)),0))),0)</f>
        <v/>
      </c>
      <c r="H34" s="6" t="str">
        <f>IF(IF(OR(G34="",G34=0),"",IF(ROUND(MIN($V$2*3,$B$36-SUM($J$6:$J33)-SUM($F34:G34)),0)&lt;0,0,ROUND(MIN($V$2*3,$B$36-SUM($J$6:$J33)-SUM($F34:G34)),0)))&gt;0,IF(OR(G34="",G34=0),"",IF(ROUND(MIN($V$2*3,$B$36-SUM($J$6:$J33)-SUM($F34:G34)),0)&lt;0,0,ROUND(MIN($V$2*3,$B$36-SUM($J$6:$J33)-SUM($F34:G34)),0))),0)</f>
        <v/>
      </c>
      <c r="I34" s="6" t="str">
        <f>IF(IF(OR(H34="",H34=0),"",IF(ROUND(MIN($V$2*3,$B$36-SUM($J$6:$J33)-SUM($F34:H34)),0)&lt;0,0,ROUND(MIN($V$2*3,$B$36-SUM($J$6:$J33)-SUM($F34:H34)),0)))&gt;0,IF(OR(H34="",H34=0),"",IF(ROUND(MIN($V$2*3,$B$36-SUM($J$6:$J33)-SUM($F34:H34)),0)&lt;0,0,ROUND(MIN($V$2*3,$B$36-SUM($J$6:$J33)-SUM($F34:H34)),0))),0)</f>
        <v/>
      </c>
      <c r="J34" s="7" t="str">
        <f t="shared" si="1"/>
        <v/>
      </c>
      <c r="V34" s="44">
        <v>3</v>
      </c>
      <c r="W34" s="38">
        <v>2</v>
      </c>
      <c r="X34" s="38">
        <v>2</v>
      </c>
      <c r="Y34" s="38">
        <v>1</v>
      </c>
      <c r="Z34" s="38">
        <v>1</v>
      </c>
      <c r="AA34" s="38">
        <v>1</v>
      </c>
      <c r="AB34" s="38">
        <v>1</v>
      </c>
      <c r="AC34" s="38">
        <v>1</v>
      </c>
      <c r="AD34" s="38">
        <v>1</v>
      </c>
      <c r="AE34" s="38">
        <v>1</v>
      </c>
      <c r="AF34" s="38">
        <v>1</v>
      </c>
      <c r="AG34" s="38">
        <v>1</v>
      </c>
      <c r="AH34" s="37">
        <v>1</v>
      </c>
    </row>
    <row r="35" spans="1:34" x14ac:dyDescent="0.25">
      <c r="C35" s="74"/>
      <c r="E35" s="5" t="str">
        <f t="shared" si="2"/>
        <v/>
      </c>
      <c r="F35" s="6" t="str">
        <f>IF(IF(OR(I34="",I34=0),"",IF(ROUND(MIN($V$2*3,$B$36-SUM($J$6:$J34)),0)&lt;0,0,ROUND(MIN($V$2*3,$B$36-SUM($J$6:$J34)),0)))&gt;0,IF(OR(I34="",I34=0),"",IF(ROUND(MIN($V$2*3,$B$36-SUM($J$6:$J34)),0)&lt;0,0,ROUND(MIN($V$2*3,$B$36-SUM($J$6:$J34)),0))),0)</f>
        <v/>
      </c>
      <c r="G35" s="6" t="str">
        <f>IF(IF(OR(F35="",F35=0),"",IF(ROUND(MIN($V$2*3,$B$36-SUM($J$6:$J34)-SUM($F35:F35)),0)&lt;0,0,ROUND(MIN($V$2*3,$B$36-SUM($J$6:$J34)-SUM($F35:F35)),0)))&gt;0,IF(OR(F35="",F35=0),"",IF(ROUND(MIN($V$2*3,$B$36-SUM($J$6:$J34)-SUM($F35:F35)),0)&lt;0,0,ROUND(MIN($V$2*3,$B$36-SUM($J$6:$J34)-SUM($F35:F35)),0))),0)</f>
        <v/>
      </c>
      <c r="H35" s="6" t="str">
        <f>IF(IF(OR(G35="",G35=0),"",IF(ROUND(MIN($V$2*3,$B$36-SUM($J$6:$J34)-SUM($F35:G35)),0)&lt;0,0,ROUND(MIN($V$2*3,$B$36-SUM($J$6:$J34)-SUM($F35:G35)),0)))&gt;0,IF(OR(G35="",G35=0),"",IF(ROUND(MIN($V$2*3,$B$36-SUM($J$6:$J34)-SUM($F35:G35)),0)&lt;0,0,ROUND(MIN($V$2*3,$B$36-SUM($J$6:$J34)-SUM($F35:G35)),0))),0)</f>
        <v/>
      </c>
      <c r="I35" s="6" t="str">
        <f>IF(IF(OR(H35="",H35=0),"",IF(ROUND(MIN($V$2*3,$B$36-SUM($J$6:$J34)-SUM($F35:H35)),0)&lt;0,0,ROUND(MIN($V$2*3,$B$36-SUM($J$6:$J34)-SUM($F35:H35)),0)))&gt;0,IF(OR(H35="",H35=0),"",IF(ROUND(MIN($V$2*3,$B$36-SUM($J$6:$J34)-SUM($F35:H35)),0)&lt;0,0,ROUND(MIN($V$2*3,$B$36-SUM($J$6:$J34)-SUM($F35:H35)),0))),0)</f>
        <v/>
      </c>
      <c r="J35" s="9" t="str">
        <f t="shared" si="1"/>
        <v/>
      </c>
      <c r="R35" s="100" t="s">
        <v>11</v>
      </c>
      <c r="V35" s="44">
        <v>4</v>
      </c>
      <c r="W35" s="38">
        <v>2</v>
      </c>
      <c r="X35" s="38">
        <v>2</v>
      </c>
      <c r="Y35" s="38">
        <v>2</v>
      </c>
      <c r="Z35" s="38">
        <v>1</v>
      </c>
      <c r="AA35" s="38">
        <v>1</v>
      </c>
      <c r="AB35" s="38">
        <v>1</v>
      </c>
      <c r="AC35" s="38">
        <v>1</v>
      </c>
      <c r="AD35" s="38">
        <v>1</v>
      </c>
      <c r="AE35" s="38">
        <v>1</v>
      </c>
      <c r="AF35" s="38">
        <v>1</v>
      </c>
      <c r="AG35" s="38">
        <v>1</v>
      </c>
      <c r="AH35" s="37">
        <v>1</v>
      </c>
    </row>
    <row r="36" spans="1:34" ht="13.8" thickBot="1" x14ac:dyDescent="0.3">
      <c r="A36" s="73" t="s">
        <v>38</v>
      </c>
      <c r="B36" s="108">
        <f>IF(MIN(IF(B14="Y",B25-B32,B27-B32),100000-B33-B34)&lt;0,0,MIN(IF(B14="Y",B25-B32,B27-B32),100000-B33-B34))</f>
        <v>0</v>
      </c>
      <c r="C36" s="74"/>
      <c r="E36" s="10" t="str">
        <f t="shared" si="2"/>
        <v/>
      </c>
      <c r="F36" s="125" t="str">
        <f>IF(IF(OR(I35="",I35=0),"",IF(ROUND(MIN($V$2*3,$B$36-SUM($J$6:$J35)),0)&lt;0,0,ROUND(MIN($V$2*3,$B$36-SUM($J$6:$J35)),0)))&gt;0,IF(OR(I35="",I35=0),"",IF(ROUND(MIN($V$2*3,$B$36-SUM($J$6:$J35)),0)&lt;0,0,ROUND(MIN($V$2*3,$B$36-SUM($J$6:$J35)),0))),0)</f>
        <v/>
      </c>
      <c r="G36" s="125" t="str">
        <f>IF(IF(OR(F36="",F36=0),"",IF(ROUND(MIN($V$2*3,$B$36-SUM($J$6:$J35)-SUM($F36:F36)),0)&lt;0,0,ROUND(MIN($V$2*3,$B$36-SUM($J$6:$J35)-SUM($F36:F36)),0)))&gt;0,IF(OR(F36="",F36=0),"",IF(ROUND(MIN($V$2*3,$B$36-SUM($J$6:$J35)-SUM($F36:F36)),0)&lt;0,0,ROUND(MIN($V$2*3,$B$36-SUM($J$6:$J35)-SUM($F36:F36)),0))),0)</f>
        <v/>
      </c>
      <c r="H36" s="125" t="str">
        <f>IF(IF(OR(G36="",G36=0),"",IF(ROUND(MIN($V$2*3,$B$36-SUM($J$6:$J35)-SUM($F36:G36)),0)&lt;0,0,ROUND(MIN($V$2*3,$B$36-SUM($J$6:$J35)-SUM($F36:G36)),0)))&gt;0,IF(OR(G36="",G36=0),"",IF(ROUND(MIN($V$2*3,$B$36-SUM($J$6:$J35)-SUM($F36:G36)),0)&lt;0,0,ROUND(MIN($V$2*3,$B$36-SUM($J$6:$J35)-SUM($F36:G36)),0))),0)</f>
        <v/>
      </c>
      <c r="I36" s="125" t="str">
        <f>IF(IF(OR(H36="",H36=0),"",IF(ROUND(MIN($V$2*3,$B$36-SUM($J$6:$J35)-SUM($F36:H36)),0)&lt;0,0,ROUND(MIN($V$2*3,$B$36-SUM($J$6:$J35)-SUM($F36:H36)),0)))&gt;0,IF(OR(H36="",H36=0),"",IF(ROUND(MIN($V$2*3,$B$36-SUM($J$6:$J35)-SUM($F36:H36)),0)&lt;0,0,ROUND(MIN($V$2*3,$B$36-SUM($J$6:$J35)-SUM($F36:H36)),0))),0)</f>
        <v/>
      </c>
      <c r="J36" s="11" t="str">
        <f t="shared" si="1"/>
        <v/>
      </c>
      <c r="R36" s="101">
        <v>41305</v>
      </c>
      <c r="U36" s="45"/>
      <c r="V36" s="44">
        <v>5</v>
      </c>
      <c r="W36" s="38">
        <v>2</v>
      </c>
      <c r="X36" s="38">
        <v>2</v>
      </c>
      <c r="Y36" s="38">
        <v>2</v>
      </c>
      <c r="Z36" s="38">
        <v>2</v>
      </c>
      <c r="AA36" s="38">
        <v>1</v>
      </c>
      <c r="AB36" s="38">
        <v>1</v>
      </c>
      <c r="AC36" s="38">
        <v>1</v>
      </c>
      <c r="AD36" s="38">
        <v>1</v>
      </c>
      <c r="AE36" s="38">
        <v>1</v>
      </c>
      <c r="AF36" s="38">
        <v>1</v>
      </c>
      <c r="AG36" s="38">
        <v>1</v>
      </c>
      <c r="AH36" s="37">
        <v>1</v>
      </c>
    </row>
    <row r="37" spans="1:34" ht="13.8" thickBot="1" x14ac:dyDescent="0.3">
      <c r="A37" s="73"/>
      <c r="B37" s="58"/>
      <c r="C37" s="74"/>
      <c r="E37" s="12"/>
      <c r="F37" s="13"/>
      <c r="G37" s="13"/>
      <c r="H37" s="13"/>
      <c r="I37" s="14" t="s">
        <v>1</v>
      </c>
      <c r="J37" s="15">
        <f>SUM(J6:J35)</f>
        <v>0</v>
      </c>
      <c r="R37" s="101">
        <v>41333</v>
      </c>
      <c r="V37" s="44">
        <v>6</v>
      </c>
      <c r="W37" s="38">
        <v>2</v>
      </c>
      <c r="X37" s="38">
        <v>2</v>
      </c>
      <c r="Y37" s="38">
        <v>2</v>
      </c>
      <c r="Z37" s="38">
        <v>2</v>
      </c>
      <c r="AA37" s="38">
        <v>2</v>
      </c>
      <c r="AB37" s="38">
        <v>1</v>
      </c>
      <c r="AC37" s="38">
        <v>1</v>
      </c>
      <c r="AD37" s="38">
        <v>1</v>
      </c>
      <c r="AE37" s="38">
        <v>1</v>
      </c>
      <c r="AF37" s="38">
        <v>1</v>
      </c>
      <c r="AG37" s="38">
        <v>1</v>
      </c>
      <c r="AH37" s="37">
        <v>1</v>
      </c>
    </row>
    <row r="38" spans="1:34" ht="13.8" thickBot="1" x14ac:dyDescent="0.3">
      <c r="A38" s="70" t="s">
        <v>23</v>
      </c>
      <c r="B38" s="95"/>
      <c r="C38" s="72"/>
      <c r="E38" s="111" t="s">
        <v>66</v>
      </c>
      <c r="R38" s="101">
        <v>41364</v>
      </c>
      <c r="V38" s="44">
        <v>7</v>
      </c>
      <c r="W38" s="38">
        <v>2</v>
      </c>
      <c r="X38" s="38">
        <v>2</v>
      </c>
      <c r="Y38" s="38">
        <v>2</v>
      </c>
      <c r="Z38" s="38">
        <v>2</v>
      </c>
      <c r="AA38" s="38">
        <v>2</v>
      </c>
      <c r="AB38" s="38">
        <v>2</v>
      </c>
      <c r="AC38" s="38">
        <v>1</v>
      </c>
      <c r="AD38" s="38">
        <v>1</v>
      </c>
      <c r="AE38" s="38">
        <v>1</v>
      </c>
      <c r="AF38" s="38">
        <v>1</v>
      </c>
      <c r="AG38" s="38">
        <v>1</v>
      </c>
      <c r="AH38" s="37">
        <v>1</v>
      </c>
    </row>
    <row r="39" spans="1:34" ht="12" customHeight="1" x14ac:dyDescent="0.25">
      <c r="A39" s="84"/>
      <c r="B39" s="58"/>
      <c r="C39" s="74"/>
      <c r="E39" s="63"/>
      <c r="F39" s="57"/>
      <c r="G39" s="57"/>
      <c r="H39" s="57"/>
      <c r="I39" s="57"/>
      <c r="J39" s="57"/>
      <c r="R39" s="101">
        <v>41394</v>
      </c>
      <c r="V39" s="44">
        <v>8</v>
      </c>
      <c r="W39" s="38">
        <v>2</v>
      </c>
      <c r="X39" s="38">
        <v>2</v>
      </c>
      <c r="Y39" s="38">
        <v>2</v>
      </c>
      <c r="Z39" s="38">
        <v>2</v>
      </c>
      <c r="AA39" s="38">
        <v>2</v>
      </c>
      <c r="AB39" s="38">
        <v>2</v>
      </c>
      <c r="AC39" s="38">
        <v>2</v>
      </c>
      <c r="AD39" s="38">
        <v>1</v>
      </c>
      <c r="AE39" s="38">
        <v>1</v>
      </c>
      <c r="AF39" s="38">
        <v>1</v>
      </c>
      <c r="AG39" s="38">
        <v>1</v>
      </c>
      <c r="AH39" s="37">
        <v>1</v>
      </c>
    </row>
    <row r="40" spans="1:34" ht="12" customHeight="1" x14ac:dyDescent="0.25">
      <c r="A40" s="73" t="s">
        <v>42</v>
      </c>
      <c r="B40" s="58"/>
      <c r="C40" s="74"/>
      <c r="E40" s="57"/>
      <c r="F40" s="57"/>
      <c r="G40" s="57"/>
      <c r="H40" s="57"/>
      <c r="I40" s="57"/>
      <c r="J40" s="57"/>
      <c r="R40" s="101">
        <v>41425</v>
      </c>
      <c r="V40" s="44">
        <v>9</v>
      </c>
      <c r="W40" s="38">
        <v>2</v>
      </c>
      <c r="X40" s="38">
        <v>2</v>
      </c>
      <c r="Y40" s="38">
        <v>2</v>
      </c>
      <c r="Z40" s="38">
        <v>2</v>
      </c>
      <c r="AA40" s="38">
        <v>2</v>
      </c>
      <c r="AB40" s="38">
        <v>2</v>
      </c>
      <c r="AC40" s="38">
        <v>2</v>
      </c>
      <c r="AD40" s="38">
        <v>2</v>
      </c>
      <c r="AE40" s="38">
        <v>1</v>
      </c>
      <c r="AF40" s="38">
        <v>1</v>
      </c>
      <c r="AG40" s="38">
        <v>1</v>
      </c>
      <c r="AH40" s="37">
        <v>1</v>
      </c>
    </row>
    <row r="41" spans="1:34" ht="12" customHeight="1" x14ac:dyDescent="0.25">
      <c r="A41" s="88"/>
      <c r="B41" s="58"/>
      <c r="C41" s="74"/>
      <c r="E41" s="160"/>
      <c r="F41" s="59"/>
      <c r="G41" s="61"/>
      <c r="H41" s="58"/>
      <c r="I41" s="160"/>
      <c r="J41" s="27"/>
      <c r="R41" s="101">
        <v>41455</v>
      </c>
      <c r="V41" s="44">
        <v>10</v>
      </c>
      <c r="W41" s="38">
        <v>2</v>
      </c>
      <c r="X41" s="38">
        <v>2</v>
      </c>
      <c r="Y41" s="38">
        <v>2</v>
      </c>
      <c r="Z41" s="38">
        <v>2</v>
      </c>
      <c r="AA41" s="38">
        <v>2</v>
      </c>
      <c r="AB41" s="38">
        <v>2</v>
      </c>
      <c r="AC41" s="38">
        <v>2</v>
      </c>
      <c r="AD41" s="38">
        <v>2</v>
      </c>
      <c r="AE41" s="38">
        <v>2</v>
      </c>
      <c r="AF41" s="38">
        <v>1</v>
      </c>
      <c r="AG41" s="38">
        <v>1</v>
      </c>
      <c r="AH41" s="37">
        <v>1</v>
      </c>
    </row>
    <row r="42" spans="1:34" ht="12" customHeight="1" x14ac:dyDescent="0.25">
      <c r="A42" s="73" t="s">
        <v>21</v>
      </c>
      <c r="B42" s="85">
        <f>'HP Equipment 1'!B42</f>
        <v>0</v>
      </c>
      <c r="C42" s="74"/>
      <c r="E42" s="160"/>
      <c r="F42" s="58"/>
      <c r="G42" s="62"/>
      <c r="H42" s="58"/>
      <c r="I42" s="160"/>
      <c r="J42" s="62"/>
      <c r="R42" s="101">
        <v>41486</v>
      </c>
      <c r="V42" s="44">
        <v>11</v>
      </c>
      <c r="W42" s="38">
        <v>2</v>
      </c>
      <c r="X42" s="38">
        <v>2</v>
      </c>
      <c r="Y42" s="38">
        <v>2</v>
      </c>
      <c r="Z42" s="38">
        <v>2</v>
      </c>
      <c r="AA42" s="38">
        <v>2</v>
      </c>
      <c r="AB42" s="38">
        <v>2</v>
      </c>
      <c r="AC42" s="38">
        <v>2</v>
      </c>
      <c r="AD42" s="38">
        <v>2</v>
      </c>
      <c r="AE42" s="38">
        <v>2</v>
      </c>
      <c r="AF42" s="38">
        <v>2</v>
      </c>
      <c r="AG42" s="38">
        <v>1</v>
      </c>
      <c r="AH42" s="37">
        <v>1</v>
      </c>
    </row>
    <row r="43" spans="1:34" ht="12" customHeight="1" thickBot="1" x14ac:dyDescent="0.3">
      <c r="A43" s="73" t="s">
        <v>22</v>
      </c>
      <c r="B43" s="85">
        <f>'HP Equipment 1'!B43</f>
        <v>0</v>
      </c>
      <c r="C43" s="74"/>
      <c r="E43" s="60"/>
      <c r="F43" s="58"/>
      <c r="G43" s="58"/>
      <c r="H43" s="58"/>
      <c r="I43" s="58"/>
      <c r="J43" s="58"/>
      <c r="R43" s="101">
        <v>41517</v>
      </c>
      <c r="V43" s="53">
        <v>12</v>
      </c>
      <c r="W43" s="40">
        <v>2</v>
      </c>
      <c r="X43" s="40">
        <v>2</v>
      </c>
      <c r="Y43" s="40">
        <v>2</v>
      </c>
      <c r="Z43" s="40">
        <v>2</v>
      </c>
      <c r="AA43" s="40">
        <v>2</v>
      </c>
      <c r="AB43" s="40">
        <v>2</v>
      </c>
      <c r="AC43" s="40">
        <v>2</v>
      </c>
      <c r="AD43" s="40">
        <v>2</v>
      </c>
      <c r="AE43" s="40">
        <v>2</v>
      </c>
      <c r="AF43" s="40">
        <v>2</v>
      </c>
      <c r="AG43" s="40">
        <v>2</v>
      </c>
      <c r="AH43" s="41">
        <v>1</v>
      </c>
    </row>
    <row r="44" spans="1:34" ht="12" customHeight="1" x14ac:dyDescent="0.25">
      <c r="A44" s="73"/>
      <c r="B44" s="85"/>
      <c r="C44" s="74"/>
      <c r="E44" s="159"/>
      <c r="F44" s="159"/>
      <c r="G44" s="159"/>
      <c r="H44" s="159"/>
      <c r="I44" s="159"/>
      <c r="J44" s="159"/>
      <c r="R44" s="101">
        <v>41547</v>
      </c>
    </row>
    <row r="45" spans="1:34" ht="12" customHeight="1" x14ac:dyDescent="0.25">
      <c r="A45" s="86" t="s">
        <v>34</v>
      </c>
      <c r="B45" s="87" t="str">
        <f>'HP Equipment 1'!B45</f>
        <v/>
      </c>
      <c r="C45" s="74"/>
      <c r="E45" s="159"/>
      <c r="F45" s="159"/>
      <c r="G45" s="159"/>
      <c r="H45" s="159"/>
      <c r="I45" s="159"/>
      <c r="J45" s="159"/>
      <c r="R45" s="101">
        <v>41578</v>
      </c>
    </row>
    <row r="46" spans="1:34" ht="12" customHeight="1" thickBot="1" x14ac:dyDescent="0.3">
      <c r="A46" s="88"/>
      <c r="B46" s="87"/>
      <c r="C46" s="74"/>
      <c r="E46" s="159"/>
      <c r="F46" s="159"/>
      <c r="G46" s="159"/>
      <c r="H46" s="159"/>
      <c r="I46" s="159"/>
      <c r="J46" s="159"/>
      <c r="R46" s="101">
        <v>41608</v>
      </c>
    </row>
    <row r="47" spans="1:34" ht="12" customHeight="1" thickBot="1" x14ac:dyDescent="0.3">
      <c r="A47" s="88" t="s">
        <v>35</v>
      </c>
      <c r="B47" s="89" t="str">
        <f>IF(ISERROR(INDEX(W26:Z29,MATCH(TEXT(MONTH(B42),0),V26:V29,0),MATCH((YEAR(B43)-YEAR(B42))*12+MONTH(B43)-MONTH(B42),W25:Z25,0))),"Please enter the correct relevant period",INDEX(W26:Z29,MATCH(TEXT(MONTH(B42),0),V26:V29,0),MATCH((YEAR(B43)-YEAR(B42))*12+MONTH(B43)-MONTH(B42),W25:Z25,0)))</f>
        <v>Please enter the correct relevant period</v>
      </c>
      <c r="C47" s="74"/>
      <c r="E47" s="159"/>
      <c r="F47" s="159"/>
      <c r="G47" s="159"/>
      <c r="H47" s="159"/>
      <c r="I47" s="159"/>
      <c r="J47" s="159"/>
      <c r="R47" s="102">
        <v>41639</v>
      </c>
    </row>
    <row r="48" spans="1:34" ht="12" customHeight="1" x14ac:dyDescent="0.25">
      <c r="A48" s="73"/>
      <c r="B48" s="58" t="s">
        <v>24</v>
      </c>
      <c r="C48" s="74"/>
      <c r="R48" s="56"/>
    </row>
    <row r="49" spans="1:18" ht="12" customHeight="1" thickBot="1" x14ac:dyDescent="0.3">
      <c r="A49" s="90"/>
      <c r="B49" s="98"/>
      <c r="C49" s="91"/>
    </row>
    <row r="51" spans="1:18" x14ac:dyDescent="0.25">
      <c r="R51" s="56"/>
    </row>
  </sheetData>
  <sheetProtection algorithmName="SHA-512" hashValue="xlCchy89asVHLFocJZ29wVm2rya3fksTJAclBmw+gUKe1ye6auXOQoEITt1G4Nf6GIzo1jhfSNEAsYj9ogZ5vw==" saltValue="Kx2QxydynyF/hrMTNYcNag==" spinCount="100000" sheet="1" objects="1" scenarios="1" selectLockedCells="1"/>
  <mergeCells count="14">
    <mergeCell ref="E41:E42"/>
    <mergeCell ref="I41:I42"/>
    <mergeCell ref="E44:J47"/>
    <mergeCell ref="L2:M2"/>
    <mergeCell ref="N2:O2"/>
    <mergeCell ref="R2:S2"/>
    <mergeCell ref="A1:C2"/>
    <mergeCell ref="E1:J2"/>
    <mergeCell ref="W24:Z24"/>
    <mergeCell ref="U25:U29"/>
    <mergeCell ref="A3:C9"/>
    <mergeCell ref="E4:E5"/>
    <mergeCell ref="F4:I4"/>
    <mergeCell ref="J4:J5"/>
  </mergeCells>
  <dataValidations count="5">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300-000000000000}"/>
    <dataValidation type="date" allowBlank="1" showInputMessage="1" showErrorMessage="1" errorTitle="Error" error="Please enter a valid date in the format dd/mm/yyyy." promptTitle="Note" prompt="Enter the relevant period as per your PIC Cash Payout application" sqref="B42:B44" xr:uid="{00000000-0002-0000-0300-000001000000}">
      <formula1>40575</formula1>
      <formula2>42369</formula2>
    </dataValidation>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300-000003000000}"/>
    <dataValidation type="date" allowBlank="1" showInputMessage="1" showErrorMessage="1" errorTitle="Error" error="Please enter a valid date in the format dd/mm/yyyy." sqref="B18:B19" xr:uid="{00000000-0002-0000-0300-000004000000}">
      <formula1>40575</formula1>
      <formula2>43100</formula2>
    </dataValidation>
    <dataValidation allowBlank="1" showInputMessage="1" showErrorMessage="1" promptTitle="Note" prompt="Enter non-qualifying costs included in the cash purchase price (B8)." sqref="B32" xr:uid="{2590FCC9-7715-49DB-9186-682D70569350}"/>
  </dataValidations>
  <pageMargins left="0.74803149606299213" right="0.74803149606299213" top="0.98425196850393704" bottom="0.98425196850393704" header="0.51181102362204722" footer="0.51181102362204722"/>
  <pageSetup paperSize="9" scale="93" orientation="portrait"/>
  <colBreaks count="1" manualBreakCount="1">
    <brk id="10" max="1048575"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H51"/>
  <sheetViews>
    <sheetView showGridLines="0" workbookViewId="0">
      <selection activeCell="B17" sqref="B17"/>
    </sheetView>
  </sheetViews>
  <sheetFormatPr defaultColWidth="10.8984375" defaultRowHeight="13.2" x14ac:dyDescent="0.25"/>
  <cols>
    <col min="1" max="1" width="42.59765625" style="1" customWidth="1"/>
    <col min="2" max="2" width="35.09765625" style="1" customWidth="1"/>
    <col min="3" max="4" width="5" style="1" customWidth="1"/>
    <col min="5" max="7" width="10.8984375" style="1"/>
    <col min="8" max="8" width="10.8984375" style="1" customWidth="1"/>
    <col min="9" max="9" width="10.8984375" style="1"/>
    <col min="10" max="10" width="23.8984375" style="1" customWidth="1"/>
    <col min="11" max="11" width="10.8984375" style="1" customWidth="1"/>
    <col min="12" max="20" width="10.8984375" style="1" hidden="1" customWidth="1"/>
    <col min="21" max="21" width="31.3984375" style="1" hidden="1" customWidth="1"/>
    <col min="22" max="34" width="10.8984375" style="1" hidden="1" customWidth="1"/>
    <col min="35" max="16384" width="10.8984375" style="1"/>
  </cols>
  <sheetData>
    <row r="1" spans="1:22" ht="18.75" customHeight="1" thickBot="1" x14ac:dyDescent="0.3">
      <c r="A1" s="139" t="s">
        <v>67</v>
      </c>
      <c r="B1" s="140"/>
      <c r="C1" s="141"/>
      <c r="D1" s="54"/>
      <c r="E1" s="139" t="s">
        <v>70</v>
      </c>
      <c r="F1" s="166"/>
      <c r="G1" s="166"/>
      <c r="H1" s="166"/>
      <c r="I1" s="166"/>
      <c r="J1" s="167"/>
    </row>
    <row r="2" spans="1:22" ht="43.5" customHeight="1" thickBot="1" x14ac:dyDescent="0.3">
      <c r="A2" s="142"/>
      <c r="B2" s="143"/>
      <c r="C2" s="144"/>
      <c r="D2" s="54"/>
      <c r="E2" s="168"/>
      <c r="F2" s="169"/>
      <c r="G2" s="169"/>
      <c r="H2" s="169"/>
      <c r="I2" s="169"/>
      <c r="J2" s="170"/>
      <c r="L2" s="145" t="s">
        <v>2</v>
      </c>
      <c r="M2" s="146"/>
      <c r="N2" s="146" t="s">
        <v>4</v>
      </c>
      <c r="O2" s="147"/>
      <c r="R2" s="148" t="s">
        <v>0</v>
      </c>
      <c r="S2" s="149"/>
      <c r="U2" s="16" t="s">
        <v>6</v>
      </c>
      <c r="V2" s="17" t="e">
        <f>IF(B14="Y",(B25-B32-MAX(B29-B26,0))/B20,(B27-B32-B29)/B20)</f>
        <v>#DIV/0!</v>
      </c>
    </row>
    <row r="3" spans="1:22" ht="15" customHeight="1" thickBot="1" x14ac:dyDescent="0.3">
      <c r="A3" s="171" t="s">
        <v>79</v>
      </c>
      <c r="B3" s="151"/>
      <c r="C3" s="152"/>
      <c r="E3" s="55" t="s">
        <v>53</v>
      </c>
      <c r="J3" s="8"/>
      <c r="L3" s="18">
        <v>1</v>
      </c>
      <c r="M3" s="19">
        <v>1</v>
      </c>
      <c r="N3" s="19">
        <v>1</v>
      </c>
      <c r="O3" s="20">
        <v>3</v>
      </c>
      <c r="R3" s="5">
        <v>1</v>
      </c>
      <c r="S3" s="21"/>
      <c r="U3" s="22" t="s">
        <v>16</v>
      </c>
      <c r="V3" s="23">
        <f>IF(B14="Y",B25-B32,B27-B32)</f>
        <v>0</v>
      </c>
    </row>
    <row r="4" spans="1:22" ht="15" customHeight="1" thickBot="1" x14ac:dyDescent="0.3">
      <c r="A4" s="153"/>
      <c r="B4" s="154"/>
      <c r="C4" s="155"/>
      <c r="E4" s="162" t="s">
        <v>0</v>
      </c>
      <c r="F4" s="161" t="s">
        <v>2</v>
      </c>
      <c r="G4" s="161"/>
      <c r="H4" s="161"/>
      <c r="I4" s="161"/>
      <c r="J4" s="164" t="s">
        <v>15</v>
      </c>
      <c r="L4" s="18">
        <v>2</v>
      </c>
      <c r="M4" s="19">
        <v>1</v>
      </c>
      <c r="N4" s="19">
        <v>2</v>
      </c>
      <c r="O4" s="20">
        <v>2</v>
      </c>
      <c r="R4" s="5">
        <v>2</v>
      </c>
      <c r="S4" s="21" t="e">
        <f t="shared" ref="S4:S33" si="0">$E$6+MIN(R3,$B$20/12)</f>
        <v>#VALUE!</v>
      </c>
      <c r="U4" s="24" t="s">
        <v>7</v>
      </c>
      <c r="V4" s="25">
        <f>IF(B14="Y",MAX(B29-B26,0),B29)</f>
        <v>0</v>
      </c>
    </row>
    <row r="5" spans="1:22" ht="15" customHeight="1" thickBot="1" x14ac:dyDescent="0.3">
      <c r="A5" s="153"/>
      <c r="B5" s="154"/>
      <c r="C5" s="155"/>
      <c r="E5" s="163"/>
      <c r="F5" s="99">
        <v>1</v>
      </c>
      <c r="G5" s="99">
        <v>2</v>
      </c>
      <c r="H5" s="99">
        <v>3</v>
      </c>
      <c r="I5" s="99">
        <v>4</v>
      </c>
      <c r="J5" s="165"/>
      <c r="L5" s="18">
        <v>3</v>
      </c>
      <c r="M5" s="19">
        <v>1</v>
      </c>
      <c r="N5" s="19">
        <v>3</v>
      </c>
      <c r="O5" s="20">
        <v>1</v>
      </c>
      <c r="R5" s="5">
        <v>3</v>
      </c>
      <c r="S5" s="21" t="e">
        <f t="shared" si="0"/>
        <v>#VALUE!</v>
      </c>
    </row>
    <row r="6" spans="1:22" ht="15" customHeight="1" thickBot="1" x14ac:dyDescent="0.3">
      <c r="A6" s="153"/>
      <c r="B6" s="154"/>
      <c r="C6" s="155"/>
      <c r="E6" s="2"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3" t="str">
        <f>IF(IF(ISERROR(ROUND(MIN(IF(AND($V$21=$E$6,$V$13=F5),$V$4,0)+IF(AND($V$17=$E$6,$V$8=F5),$V$2*M29,0),$B$36),0)),"",ROUND(MIN(IF(AND($V$21=$E$6,$V$13=F5),$V$4,0)+IF(AND($V$17=$E$6,$V$8=F5),$V$2*M29,0),$B$36),0))&gt;0,IF(ISERROR(ROUND(MIN(IF(AND($V$21=$E$6,$V$13=F5),$V$4,0)+IF(AND($V$17=$E$6,$V$8=F5),$V$2*M29,0),$B$36),0)),"",ROUND(MIN(IF(AND($V$21=$E$6,$V$13=F5),$V$4,0)+IF(AND($V$17=$E$6,$V$8=F5),$V$2*M29,0),$B$36),0)),0)</f>
        <v/>
      </c>
      <c r="G6" s="3" t="str">
        <f>IF(IF(ISERROR(ROUND(MIN(IF(AND($V$21=$E$6,$V$13=G5),$V$4,0)+IF(ISERROR(IF(AND($V$17=$E$6,$V$8=G5),$V$2*N29,0)),0,IF(AND($V$17=$E$6,$V$8=G5),$V$2*N29,0))+IF(AND($V$8&lt;G5,$V$17=$E$6),$V$2*3,0),$B$36-SUM($F$6:F6)),0)),"",ROUND(MIN(IF(AND($V$21=$E$6,$V$13=G5),$V$4,0)+IF(ISERROR(IF(AND($V$17=$E$6,$V$8=G5),$V$2*N29,0)),0,IF(AND($V$17=$E$6,$V$8=G5),$V$2*N29,0))+IF(AND($V$8&lt;G5,$V$17=$E$6),$V$2*3,0),$B$36-SUM($F$6:F6)),0))&gt;0,IF(ISERROR(ROUND(MIN(IF(AND($V$21=$E$6,$V$13=G5),$V$4,0)+IF(ISERROR(IF(AND($V$17=$E$6,$V$8=G5),$V$2*N29,0)),0,IF(AND($V$17=$E$6,$V$8=G5),$V$2*N29,0))+IF(AND($V$8&lt;G5,$V$17=$E$6),$V$2*3,0),$B$36-SUM($F$6:F6)),0)),"",ROUND(MIN(IF(AND($V$21=$E$6,$V$13=G5),$V$4,0)+IF(ISERROR(IF(AND($V$17=$E$6,$V$8=G5),$V$2*N29,0)),0,IF(AND($V$17=$E$6,$V$8=G5),$V$2*N29,0))+IF(AND($V$8&lt;G5,$V$17=$E$6),$V$2*3,0),$B$36-SUM($F$6:F6)),0)),0)</f>
        <v/>
      </c>
      <c r="H6" s="3" t="str">
        <f>IF(IF(ISERROR(ROUND(MIN(IF(AND($V$21=$E$6,$V$13=H5),$V$4,0)+IF(ISERROR(IF(AND($V$17=$E$6,$V$8=H5),$V$2*O29,0)),0,IF(AND($V$17=$E$6,$V$8=H5),$V$2*O29,0))+IF(AND($V$8&lt;H5,$V$17=$E$6),$V$2*3,0),$B$36-SUM($F$6:G6)),0)),"",ROUND(MIN(IF(AND($V$21=$E$6,$V$13=H5),$V$4,0)+IF(ISERROR(IF(AND($V$17=$E$6,$V$8=H5),$V$2*O29,0)),0,IF(AND($V$17=$E$6,$V$8=H5),$V$2*O29,0))+IF(AND($V$8&lt;H5,$V$17=$E$6),$V$2*3,0),$B$36-SUM($F$6:G6)),0))&gt;0,IF(ISERROR(ROUND(MIN(IF(AND($V$21=$E$6,$V$13=H5),$V$4,0)+IF(ISERROR(IF(AND($V$17=$E$6,$V$8=H5),$V$2*O29,0)),0,IF(AND($V$17=$E$6,$V$8=H5),$V$2*O29,0))+IF(AND($V$8&lt;H5,$V$17=$E$6),$V$2*3,0),$B$36-SUM($F$6:G6)),0)),"",ROUND(MIN(IF(AND($V$21=$E$6,$V$13=H5),$V$4,0)+IF(ISERROR(IF(AND($V$17=$E$6,$V$8=H5),$V$2*O29,0)),0,IF(AND($V$17=$E$6,$V$8=H5),$V$2*O29,0))+IF(AND($V$8&lt;H5,$V$17=$E$6),$V$2*3,0),$B$36-SUM($F$6:G6)),0)),0)</f>
        <v/>
      </c>
      <c r="I6" s="3" t="str">
        <f>IF(IF(ISERROR(ROUND(MIN(IF(AND($V$21=$E$6,$V$13=I5),$V$4,0)+IF(ISERROR(IF(AND($V$17=$E$6,$V$8=I5),$V$2*P29,0)),0,IF(AND($V$17=$E$6,$V$8=I5),$V$2*P29,0))+IF(AND($V$8&lt;I5,$V$17=$E$6),$V$2*3,0),$B$36-SUM($F$6:H6)),0)),"",ROUND(MIN(IF(AND($V$21=$E$6,$V$13=I5),$V$4,0)+IF(ISERROR(IF(AND($V$17=$E$6,$V$8=I5),$V$2*P29,0)),0,IF(AND($V$17=$E$6,$V$8=I5),$V$2*P29,0))+IF(AND($V$8&lt;I5,$V$17=$E$6),$V$2*3,0),$B$36-SUM($F$6:H6)),0))&gt;0,IF(ISERROR(ROUND(MIN(IF(AND($V$21=$E$6,$V$13=I5),$V$4,0)+IF(ISERROR(IF(AND($V$17=$E$6,$V$8=I5),$V$2*P29,0)),0,IF(AND($V$17=$E$6,$V$8=I5),$V$2*P29,0))+IF(AND($V$8&lt;I5,$V$17=$E$6),$V$2*3,0),$B$36-SUM($F$6:H6)),0)),"",ROUND(MIN(IF(AND($V$21=$E$6,$V$13=I5),$V$4,0)+IF(ISERROR(IF(AND($V$17=$E$6,$V$8=I5),$V$2*P29,0)),0,IF(AND($V$17=$E$6,$V$8=I5),$V$2*P29,0))+IF(AND($V$8&lt;I5,$V$17=$E$6),$V$2*3,0),$B$36-SUM($F$6:H6)),0)),0)</f>
        <v/>
      </c>
      <c r="J6" s="4">
        <f>SUM(F6:I6)</f>
        <v>0</v>
      </c>
      <c r="L6" s="18">
        <v>4</v>
      </c>
      <c r="M6" s="19">
        <v>2</v>
      </c>
      <c r="N6" s="19">
        <v>4</v>
      </c>
      <c r="O6" s="20">
        <v>3</v>
      </c>
      <c r="R6" s="5">
        <v>4</v>
      </c>
      <c r="S6" s="21" t="e">
        <f t="shared" si="0"/>
        <v>#VALUE!</v>
      </c>
      <c r="U6" s="1" t="s">
        <v>49</v>
      </c>
    </row>
    <row r="7" spans="1:22" ht="15" customHeight="1" x14ac:dyDescent="0.25">
      <c r="A7" s="153"/>
      <c r="B7" s="154"/>
      <c r="C7" s="155"/>
      <c r="E7" s="5" t="str">
        <f>IF(ISERROR(IF(AND(F7="",F7=0,G7="",G7=0,H7="",H7=0,I7="",I7=0),"",IF($V$17=$V$21,E6+1,IF($V$21&gt;$V$17,$V$17+1,$V$17)))),"",IF(AND(F7="",F7=0,G7="",G7=0,H7="",H7=0,I7="",I7=0),"",IF($V$17=$V$21,E6+1,IF($V$21&gt;$V$17,$V$17+1,$V$17))))</f>
        <v/>
      </c>
      <c r="F7" s="6" t="str">
        <f>IF(IF(ISERROR(IF(ROUND(MIN(IF($V$17&lt;&gt;$E$6,IF($V$8=F5,$V$2*M29,0),$V$2*3),$B$36-SUM($J$6:$J6)),0)&lt;0,0,ROUND(MIN(IF($V$17&lt;&gt;$E$6,IF($V$8=F5,$V$2*M29,0),$V$2*3),$B$36-SUM($J$6:$J6)),0))),"",IF(ROUND(MIN(IF($V$17&lt;&gt;$E$6,IF($V$8=F5,$V$2*M29,0),$V$2*3),$B$36-SUM($J$6:$J6)),0)&lt;0,0,ROUND(MIN(IF($V$17&lt;&gt;$E$6,IF($V$8=F5,$V$2*M29,0),$V$2*3),$B$36-SUM($J$6:$J6)),0)))&gt;0,IF(ISERROR(IF(ROUND(MIN(IF($V$17&lt;&gt;$E$6,IF($V$8=F5,$V$2*M29,0),$V$2*3),$B$36-SUM($J$6:$J6)),0)&lt;0,0,ROUND(MIN(IF($V$17&lt;&gt;$E$6,IF($V$8=F5,$V$2*M29,0),$V$2*3),$B$36-SUM($J$6:$J6)),0))),"",IF(ROUND(MIN(IF($V$17&lt;&gt;$E$6,IF($V$8=F5,$V$2*M29,0),$V$2*3),$B$36-SUM($J$6:$J6)),0)&lt;0,0,ROUND(MIN(IF($V$17&lt;&gt;$E$6,IF($V$8=F5,$V$2*M29,0),$V$2*3),$B$36-SUM($J$6:$J6)),0))),0)</f>
        <v/>
      </c>
      <c r="G7" s="6" t="str">
        <f>IF(IF(ISERROR(IF(ROUND(MIN(IF($V$17&lt;&gt;$E$6,IF($V$8=F5,$V$2*M29,0),$V$2*3),$B$36-SUM($J$6:$J6)),0)&lt;0,0,ROUND(MIN(IF($V$17&lt;&gt;$E$6,IF($V$8=G5,$V$2*N29,0)+IF($V$8&lt;G5,$V$2*3,0),$V$2*3),$B$36-SUM($J$6:$J6)-SUM($F$7:F7)),0))),"",IF(ROUND(MIN(IF($V$17&lt;&gt;$E$6,IF($V$8=F5,$V$2*M29,0),$V$2*3),$B$36-SUM($J$6:$J6)),0)&lt;0,0,ROUND(MIN(IF($V$17&lt;&gt;$E$6,IF($V$8=G5,$V$2*N29,0)+IF($V$8&lt;G5,$V$2*3,0),$V$2*3),$B$36-SUM($J$6:$J6)-SUM($F$7:F7)),0)))&gt;0,IF(ISERROR(IF(ROUND(MIN(IF($V$17&lt;&gt;$E$6,IF($V$8=F5,$V$2*M29,0),$V$2*3),$B$36-SUM($J$6:$J6)),0)&lt;0,0,ROUND(MIN(IF($V$17&lt;&gt;$E$6,IF($V$8=G5,$V$2*N29,0)+IF($V$8&lt;G5,$V$2*3,0),$V$2*3),$B$36-SUM($J$6:$J6)-SUM($F$7:F7)),0))),"",IF(ROUND(MIN(IF($V$17&lt;&gt;$E$6,IF($V$8=F5,$V$2*M29,0),$V$2*3),$B$36-SUM($J$6:$J6)),0)&lt;0,0,ROUND(MIN(IF($V$17&lt;&gt;$E$6,IF($V$8=G5,$V$2*N29,0)+IF($V$8&lt;G5,$V$2*3,0),$V$2*3),$B$36-SUM($J$6:$J6)-SUM($F$7:F7)),0))),0)</f>
        <v/>
      </c>
      <c r="H7" s="6" t="str">
        <f>IF(IF(ISERROR(IF(ROUND(MIN(IF($V$17&lt;&gt;$E$6,IF($V$8=F5,$V$2*M29,0),$V$2*3),$B$36-SUM($J$6:$J6)),0)&lt;0,0,ROUND(MIN(IF($V$17&lt;&gt;$E$6,IF($V$8=H5,$V$2*O29,0)+IF($V$8&lt;H5,$V$2*3,0),$V$2*3),$B$36-SUM($J$6:$J6)-SUM($F$7:G7)),0))),"",IF(ROUND(MIN(IF($V$17&lt;&gt;$E$6,IF($V$8=F5,$V$2*M29,0),$V$2*3),$B$36-SUM($J$6:$J6)),0)&lt;0,0,ROUND(MIN(IF($V$17&lt;&gt;$E$6,IF($V$8=H5,$V$2*O29,0)+IF($V$8&lt;H5,$V$2*3,0),$V$2*3),$B$36-SUM($J$6:$J6)-SUM($F$7:G7)),0)))&gt;0,IF(ISERROR(IF(ROUND(MIN(IF($V$17&lt;&gt;$E$6,IF($V$8=F5,$V$2*M29,0),$V$2*3),$B$36-SUM($J$6:$J6)),0)&lt;0,0,ROUND(MIN(IF($V$17&lt;&gt;$E$6,IF($V$8=H5,$V$2*O29,0)+IF($V$8&lt;H5,$V$2*3,0),$V$2*3),$B$36-SUM($J$6:$J6)-SUM($F$7:G7)),0))),"",IF(ROUND(MIN(IF($V$17&lt;&gt;$E$6,IF($V$8=F5,$V$2*M29,0),$V$2*3),$B$36-SUM($J$6:$J6)),0)&lt;0,0,ROUND(MIN(IF($V$17&lt;&gt;$E$6,IF($V$8=H5,$V$2*O29,0)+IF($V$8&lt;H5,$V$2*3,0),$V$2*3),$B$36-SUM($J$6:$J6)-SUM($F$7:G7)),0))),0)</f>
        <v/>
      </c>
      <c r="I7" s="6" t="str">
        <f>IF(IF(ISERROR(IF(ROUND(MIN(IF($V$17&lt;&gt;$E$6,IF($V$8=F5,$V$2*M29,0),$V$2*3),$B$36-SUM($J$6:$J6)),0)&lt;0,0,ROUND(MIN(IF($V$17&lt;&gt;$E$6,IF($V$8=I5,$V$2*P29,0)+IF($V$8&lt;I5,$V$2*3,0),$V$2*3),$B$36-SUM($J$6:$J6)-SUM($F$7:H7)),0))),"",IF(ROUND(MIN(IF($V$17&lt;&gt;$E$6,IF($V$8=F5,$V$2*M29,0),$V$2*3),$B$36-SUM($J$6:$J6)),0)&lt;0,0,ROUND(MIN(IF($V$17&lt;&gt;$E$6,IF($V$8=I5,$V$2*P29,0)+IF($V$8&lt;I5,$V$2*3,0),$V$2*3),$B$36-SUM($J$6:$J6)-SUM($F$7:H7)),0)))&gt;0,IF(ISERROR(IF(ROUND(MIN(IF($V$17&lt;&gt;$E$6,IF($V$8=F5,$V$2*M29,0),$V$2*3),$B$36-SUM($J$6:$J6)),0)&lt;0,0,ROUND(MIN(IF($V$17&lt;&gt;$E$6,IF($V$8=I5,$V$2*P29,0)+IF($V$8&lt;I5,$V$2*3,0),$V$2*3),$B$36-SUM($J$6:$J6)-SUM($F$7:H7)),0))),"",IF(ROUND(MIN(IF($V$17&lt;&gt;$E$6,IF($V$8=F5,$V$2*M29,0),$V$2*3),$B$36-SUM($J$6:$J6)),0)&lt;0,0,ROUND(MIN(IF($V$17&lt;&gt;$E$6,IF($V$8=I5,$V$2*P29,0)+IF($V$8&lt;I5,$V$2*3,0),$V$2*3),$B$36-SUM($J$6:$J6)-SUM($F$7:H7)),0))),0)</f>
        <v/>
      </c>
      <c r="J7" s="7" t="str">
        <f>IF(E7="","",SUM(F7:I7))</f>
        <v/>
      </c>
      <c r="L7" s="18">
        <v>5</v>
      </c>
      <c r="M7" s="19">
        <v>2</v>
      </c>
      <c r="N7" s="19">
        <v>5</v>
      </c>
      <c r="O7" s="20">
        <v>2</v>
      </c>
      <c r="R7" s="5">
        <v>5</v>
      </c>
      <c r="S7" s="21" t="e">
        <f t="shared" si="0"/>
        <v>#VALUE!</v>
      </c>
      <c r="U7" s="16" t="s">
        <v>3</v>
      </c>
      <c r="V7" s="26" t="e">
        <f>(YEAR($B$19)-YEAR(DATE(YEAR($B$19)-1,MONTH($B$13),DAY($B$13))))*12+MONTH($B$19)-MONTH(DATE(YEAR($B$19)-1,MONTH($B$13),DAY($B$13)))</f>
        <v>#VALUE!</v>
      </c>
    </row>
    <row r="8" spans="1:22" ht="15" customHeight="1" x14ac:dyDescent="0.25">
      <c r="A8" s="153"/>
      <c r="B8" s="154"/>
      <c r="C8" s="155"/>
      <c r="E8" s="5" t="str">
        <f>IF(OR(F8="",F8=0),"",E7+1)</f>
        <v/>
      </c>
      <c r="F8" s="6" t="str">
        <f>IF(IF(OR(I7="",I7=0),"",IF(ROUND(MIN($V$2*3,$B$36-SUM($J$6:$J7)),0)&lt;0,0,ROUND(MIN($V$2*3,$B$36-SUM($J$6:$J7)),0)))&gt;0,IF(OR(I7="",I7=0),"",IF(ROUND(MIN($V$2*3,$B$36-SUM($J$6:$J7)),0)&lt;0,0,ROUND(MIN($V$2*3,$B$36-SUM($J$6:$J7)),0))),0)</f>
        <v/>
      </c>
      <c r="G8" s="6" t="str">
        <f>IF(IF(OR(F8="",F8=0),"",IF(ROUND(MIN($V$2*3,$B$36-SUM($J$6:$J7)-SUM($F8:F8)),0)&lt;0,0,ROUND(MIN($V$2*3,$B$36-SUM($J$6:$J7)-SUM($F8:F8)),0)))&gt;0,IF(OR(F8="",F8=0),"",IF(ROUND(MIN($V$2*3,$B$36-SUM($J$6:$J7)-SUM($F8:F8)),0)&lt;0,0,ROUND(MIN($V$2*3,$B$36-SUM($J$6:$J7)-SUM($F8:F8)),0))),0)</f>
        <v/>
      </c>
      <c r="H8" s="6" t="str">
        <f>IF(IF(OR(G8="",G8=0),"",IF(ROUND(MIN($V$2*3,$B$36-SUM($J$6:$J7)-SUM($F8:G8)),0)&lt;0,0,ROUND(MIN($V$2*3,$B$36-SUM($J$6:$J7)-SUM($F8:G8)),0)))&gt;0,IF(OR(G8="",G8=0),"",IF(ROUND(MIN($V$2*3,$B$36-SUM($J$6:$J7)-SUM($F8:G8)),0)&lt;0,0,ROUND(MIN($V$2*3,$B$36-SUM($J$6:$J7)-SUM($F8:G8)),0))),0)</f>
        <v/>
      </c>
      <c r="I8" s="6" t="str">
        <f>IF(IF(OR(H8="",H8=0),"",IF(ROUND(MIN($V$2*3,$B$36-SUM($J$6:$J7)-SUM($F8:H8)),0)&lt;0,0,ROUND(MIN($V$2*3,$B$36-SUM($J$6:$J7)-SUM($F8:H8)),0)))&gt;0,IF(OR(H8="",H8=0),"",IF(ROUND(MIN($V$2*3,$B$36-SUM($J$6:$J7)-SUM($F8:H8)),0)&lt;0,0,ROUND(MIN($V$2*3,$B$36-SUM($J$6:$J7)-SUM($F8:H8)),0))),0)</f>
        <v/>
      </c>
      <c r="J8" s="7" t="str">
        <f t="shared" ref="J8:J36" si="1">IF(E8="","",SUM(F8:I8))</f>
        <v/>
      </c>
      <c r="L8" s="18">
        <v>6</v>
      </c>
      <c r="M8" s="19">
        <v>2</v>
      </c>
      <c r="N8" s="19">
        <v>6</v>
      </c>
      <c r="O8" s="20">
        <v>1</v>
      </c>
      <c r="R8" s="5">
        <v>6</v>
      </c>
      <c r="S8" s="21" t="e">
        <f t="shared" si="0"/>
        <v>#VALUE!</v>
      </c>
      <c r="U8" s="22" t="s">
        <v>2</v>
      </c>
      <c r="V8" s="21" t="e">
        <f>LOOKUP(V7,$L$3:$L$26,$M$3:$M$26)</f>
        <v>#VALUE!</v>
      </c>
    </row>
    <row r="9" spans="1:22" ht="15" customHeight="1" thickBot="1" x14ac:dyDescent="0.3">
      <c r="A9" s="156"/>
      <c r="B9" s="157"/>
      <c r="C9" s="158"/>
      <c r="E9" s="5" t="str">
        <f t="shared" ref="E9:E36" si="2">IF(OR(F9="",F9=0),"",E8+1)</f>
        <v/>
      </c>
      <c r="F9" s="6" t="str">
        <f>IF(IF(OR(I8="",I8=0),"",IF(ROUND(MIN($V$2*3,$B$36-SUM($J$6:$J8)),0)&lt;0,0,ROUND(MIN($V$2*3,$B$36-SUM($J$6:$J8)),0)))&gt;0,IF(OR(I8="",I8=0),"",IF(ROUND(MIN($V$2*3,$B$36-SUM($J$6:$J8)),0)&lt;0,0,ROUND(MIN($V$2*3,$B$36-SUM($J$6:$J8)),0))),0)</f>
        <v/>
      </c>
      <c r="G9" s="6" t="str">
        <f>IF(IF(OR(F9="",F9=0),"",IF(ROUND(MIN($V$2*3,$B$36-SUM($J$6:$J8)-SUM($F9:F9)),0)&lt;0,0,ROUND(MIN($V$2*3,$B$36-SUM($J$6:$J8)-SUM($F9:F9)),0)))&gt;0,IF(OR(F9="",F9=0),"",IF(ROUND(MIN($V$2*3,$B$36-SUM($J$6:$J8)-SUM($F9:F9)),0)&lt;0,0,ROUND(MIN($V$2*3,$B$36-SUM($J$6:$J8)-SUM($F9:F9)),0))),0)</f>
        <v/>
      </c>
      <c r="H9" s="6" t="str">
        <f>IF(IF(OR(G9="",G9=0),"",IF(ROUND(MIN($V$2*3,$B$36-SUM($J$6:$J8)-SUM($F9:G9)),0)&lt;0,0,ROUND(MIN($V$2*3,$B$36-SUM($J$6:$J8)-SUM($F9:G9)),0)))&gt;0,IF(OR(G9="",G9=0),"",IF(ROUND(MIN($V$2*3,$B$36-SUM($J$6:$J8)-SUM($F9:G9)),0)&lt;0,0,ROUND(MIN($V$2*3,$B$36-SUM($J$6:$J8)-SUM($F9:G9)),0))),0)</f>
        <v/>
      </c>
      <c r="I9" s="6" t="str">
        <f>IF(IF(OR(H9="",H9=0),"",IF(ROUND(MIN($V$2*3,$B$36-SUM($J$6:$J8)-SUM($F9:H9)),0)&lt;0,0,ROUND(MIN($V$2*3,$B$36-SUM($J$6:$J8)-SUM($F9:H9)),0)))&gt;0,IF(OR(H9="",H9=0),"",IF(ROUND(MIN($V$2*3,$B$36-SUM($J$6:$J8)-SUM($F9:H9)),0)&lt;0,0,ROUND(MIN($V$2*3,$B$36-SUM($J$6:$J8)-SUM($F9:H9)),0))),0)</f>
        <v/>
      </c>
      <c r="J9" s="7" t="str">
        <f t="shared" si="1"/>
        <v/>
      </c>
      <c r="L9" s="18">
        <v>7</v>
      </c>
      <c r="M9" s="19">
        <v>3</v>
      </c>
      <c r="N9" s="19">
        <v>7</v>
      </c>
      <c r="O9" s="20">
        <v>3</v>
      </c>
      <c r="P9" s="30"/>
      <c r="Q9" s="30"/>
      <c r="R9" s="5">
        <v>7</v>
      </c>
      <c r="S9" s="21" t="e">
        <f t="shared" si="0"/>
        <v>#VALUE!</v>
      </c>
      <c r="U9" s="28" t="s">
        <v>9</v>
      </c>
      <c r="V9" s="29" t="e">
        <f>DATE(YEAR($B$42),MONTH($B$13),DAY($B$13))</f>
        <v>#VALUE!</v>
      </c>
    </row>
    <row r="10" spans="1:22" ht="12.75" customHeight="1" thickBot="1" x14ac:dyDescent="0.3">
      <c r="A10" s="70" t="s">
        <v>39</v>
      </c>
      <c r="B10" s="106"/>
      <c r="C10" s="72"/>
      <c r="E10" s="5" t="str">
        <f t="shared" si="2"/>
        <v/>
      </c>
      <c r="F10" s="6" t="str">
        <f>IF(IF(OR(I9="",I9=0),"",IF(ROUND(MIN($V$2*3,$B$36-SUM($J$6:$J9)),0)&lt;0,0,ROUND(MIN($V$2*3,$B$36-SUM($J$6:$J9)),0)))&gt;0,IF(OR(I9="",I9=0),"",IF(ROUND(MIN($V$2*3,$B$36-SUM($J$6:$J9)),0)&lt;0,0,ROUND(MIN($V$2*3,$B$36-SUM($J$6:$J9)),0))),0)</f>
        <v/>
      </c>
      <c r="G10" s="6" t="str">
        <f>IF(IF(OR(F10="",F10=0),"",IF(ROUND(MIN($V$2*3,$B$36-SUM($J$6:$J9)-SUM($F10:F10)),0)&lt;0,0,ROUND(MIN($V$2*3,$B$36-SUM($J$6:$J9)-SUM($F10:F10)),0)))&gt;0,IF(OR(F10="",F10=0),"",IF(ROUND(MIN($V$2*3,$B$36-SUM($J$6:$J9)-SUM($F10:F10)),0)&lt;0,0,ROUND(MIN($V$2*3,$B$36-SUM($J$6:$J9)-SUM($F10:F10)),0))),0)</f>
        <v/>
      </c>
      <c r="H10" s="6" t="str">
        <f>IF(IF(OR(G10="",G10=0),"",IF(ROUND(MIN($V$2*3,$B$36-SUM($J$6:$J9)-SUM($F10:G10)),0)&lt;0,0,ROUND(MIN($V$2*3,$B$36-SUM($J$6:$J9)-SUM($F10:G10)),0)))&gt;0,IF(OR(G10="",G10=0),"",IF(ROUND(MIN($V$2*3,$B$36-SUM($J$6:$J9)-SUM($F10:G10)),0)&lt;0,0,ROUND(MIN($V$2*3,$B$36-SUM($J$6:$J9)-SUM($F10:G10)),0))),0)</f>
        <v/>
      </c>
      <c r="I10" s="6" t="str">
        <f>IF(IF(OR(H10="",H10=0),"",IF(ROUND(MIN($V$2*3,$B$36-SUM($J$6:$J9)-SUM($F10:H10)),0)&lt;0,0,ROUND(MIN($V$2*3,$B$36-SUM($J$6:$J9)-SUM($F10:H10)),0)))&gt;0,IF(OR(H10="",H10=0),"",IF(ROUND(MIN($V$2*3,$B$36-SUM($J$6:$J9)-SUM($F10:H10)),0)&lt;0,0,ROUND(MIN($V$2*3,$B$36-SUM($J$6:$J9)-SUM($F10:H10)),0))),0)</f>
        <v/>
      </c>
      <c r="J10" s="7" t="str">
        <f t="shared" si="1"/>
        <v/>
      </c>
      <c r="L10" s="18">
        <v>8</v>
      </c>
      <c r="M10" s="19">
        <v>3</v>
      </c>
      <c r="N10" s="19">
        <v>8</v>
      </c>
      <c r="O10" s="20">
        <v>2</v>
      </c>
      <c r="R10" s="5">
        <v>8</v>
      </c>
      <c r="S10" s="21" t="e">
        <f t="shared" si="0"/>
        <v>#VALUE!</v>
      </c>
      <c r="U10" s="54"/>
    </row>
    <row r="11" spans="1:22" ht="12.75" customHeight="1" thickBot="1" x14ac:dyDescent="0.3">
      <c r="A11" s="73" t="s">
        <v>12</v>
      </c>
      <c r="B11" s="107" t="str">
        <f>IF('HP Equipment 1'!B11="","",'HP Equipment 1'!B11)</f>
        <v/>
      </c>
      <c r="C11" s="74"/>
      <c r="E11" s="5" t="str">
        <f t="shared" si="2"/>
        <v/>
      </c>
      <c r="F11" s="6" t="str">
        <f>IF(IF(OR(I10="",I10=0),"",IF(ROUND(MIN($V$2*3,$B$36-SUM($J$6:$J10)),0)&lt;0,0,ROUND(MIN($V$2*3,$B$36-SUM($J$6:$J10)),0)))&gt;0,IF(OR(I10="",I10=0),"",IF(ROUND(MIN($V$2*3,$B$36-SUM($J$6:$J10)),0)&lt;0,0,ROUND(MIN($V$2*3,$B$36-SUM($J$6:$J10)),0))),0)</f>
        <v/>
      </c>
      <c r="G11" s="6" t="str">
        <f>IF(IF(OR(F11="",F11=0),"",IF(ROUND(MIN($V$2*3,$B$36-SUM($J$6:$J10)-SUM($F11:F11)),0)&lt;0,0,ROUND(MIN($V$2*3,$B$36-SUM($J$6:$J10)-SUM($F11:F11)),0)))&gt;0,IF(OR(F11="",F11=0),"",IF(ROUND(MIN($V$2*3,$B$36-SUM($J$6:$J10)-SUM($F11:F11)),0)&lt;0,0,ROUND(MIN($V$2*3,$B$36-SUM($J$6:$J10)-SUM($F11:F11)),0))),0)</f>
        <v/>
      </c>
      <c r="H11" s="6" t="str">
        <f>IF(IF(OR(G11="",G11=0),"",IF(ROUND(MIN($V$2*3,$B$36-SUM($J$6:$J10)-SUM($F11:G11)),0)&lt;0,0,ROUND(MIN($V$2*3,$B$36-SUM($J$6:$J10)-SUM($F11:G11)),0)))&gt;0,IF(OR(G11="",G11=0),"",IF(ROUND(MIN($V$2*3,$B$36-SUM($J$6:$J10)-SUM($F11:G11)),0)&lt;0,0,ROUND(MIN($V$2*3,$B$36-SUM($J$6:$J10)-SUM($F11:G11)),0))),0)</f>
        <v/>
      </c>
      <c r="I11" s="6" t="str">
        <f>IF(IF(OR(H11="",H11=0),"",IF(ROUND(MIN($V$2*3,$B$36-SUM($J$6:$J10)-SUM($F11:H11)),0)&lt;0,0,ROUND(MIN($V$2*3,$B$36-SUM($J$6:$J10)-SUM($F11:H11)),0)))&gt;0,IF(OR(H11="",H11=0),"",IF(ROUND(MIN($V$2*3,$B$36-SUM($J$6:$J10)-SUM($F11:H11)),0)&lt;0,0,ROUND(MIN($V$2*3,$B$36-SUM($J$6:$J10)-SUM($F11:H11)),0))),0)</f>
        <v/>
      </c>
      <c r="J11" s="7" t="str">
        <f t="shared" si="1"/>
        <v/>
      </c>
      <c r="L11" s="18">
        <v>9</v>
      </c>
      <c r="M11" s="19">
        <v>3</v>
      </c>
      <c r="N11" s="19">
        <v>9</v>
      </c>
      <c r="O11" s="20">
        <v>1</v>
      </c>
      <c r="R11" s="5">
        <v>9</v>
      </c>
      <c r="S11" s="21" t="e">
        <f t="shared" si="0"/>
        <v>#VALUE!</v>
      </c>
      <c r="U11" s="1" t="s">
        <v>46</v>
      </c>
    </row>
    <row r="12" spans="1:22" ht="12.75" customHeight="1" x14ac:dyDescent="0.25">
      <c r="A12" s="73" t="s">
        <v>13</v>
      </c>
      <c r="B12" s="58" t="str">
        <f>IF('HP Equipment 1'!B12="","",'HP Equipment 1'!B12)</f>
        <v/>
      </c>
      <c r="C12" s="74"/>
      <c r="E12" s="5" t="str">
        <f t="shared" si="2"/>
        <v/>
      </c>
      <c r="F12" s="6" t="str">
        <f>IF(IF(OR(I11="",I11=0),"",IF(ROUND(MIN($V$2*3,$B$36-SUM($J$6:$J11)),0)&lt;0,0,ROUND(MIN($V$2*3,$B$36-SUM($J$6:$J11)),0)))&gt;0,IF(OR(I11="",I11=0),"",IF(ROUND(MIN($V$2*3,$B$36-SUM($J$6:$J11)),0)&lt;0,0,ROUND(MIN($V$2*3,$B$36-SUM($J$6:$J11)),0))),0)</f>
        <v/>
      </c>
      <c r="G12" s="6" t="str">
        <f>IF(IF(OR(F12="",F12=0),"",IF(ROUND(MIN($V$2*3,$B$36-SUM($J$6:$J11)-SUM($F12:F12)),0)&lt;0,0,ROUND(MIN($V$2*3,$B$36-SUM($J$6:$J11)-SUM($F12:F12)),0)))&gt;0,IF(OR(F12="",F12=0),"",IF(ROUND(MIN($V$2*3,$B$36-SUM($J$6:$J11)-SUM($F12:F12)),0)&lt;0,0,ROUND(MIN($V$2*3,$B$36-SUM($J$6:$J11)-SUM($F12:F12)),0))),0)</f>
        <v/>
      </c>
      <c r="H12" s="6" t="str">
        <f>IF(IF(OR(G12="",G12=0),"",IF(ROUND(MIN($V$2*3,$B$36-SUM($J$6:$J11)-SUM($F12:G12)),0)&lt;0,0,ROUND(MIN($V$2*3,$B$36-SUM($J$6:$J11)-SUM($F12:G12)),0)))&gt;0,IF(OR(G12="",G12=0),"",IF(ROUND(MIN($V$2*3,$B$36-SUM($J$6:$J11)-SUM($F12:G12)),0)&lt;0,0,ROUND(MIN($V$2*3,$B$36-SUM($J$6:$J11)-SUM($F12:G12)),0))),0)</f>
        <v/>
      </c>
      <c r="I12" s="6" t="str">
        <f>IF(IF(OR(H12="",H12=0),"",IF(ROUND(MIN($V$2*3,$B$36-SUM($J$6:$J11)-SUM($F12:H12)),0)&lt;0,0,ROUND(MIN($V$2*3,$B$36-SUM($J$6:$J11)-SUM($F12:H12)),0)))&gt;0,IF(OR(H12="",H12=0),"",IF(ROUND(MIN($V$2*3,$B$36-SUM($J$6:$J11)-SUM($F12:H12)),0)&lt;0,0,ROUND(MIN($V$2*3,$B$36-SUM($J$6:$J11)-SUM($F12:H12)),0))),0)</f>
        <v/>
      </c>
      <c r="J12" s="7" t="str">
        <f t="shared" si="1"/>
        <v/>
      </c>
      <c r="L12" s="18">
        <v>10</v>
      </c>
      <c r="M12" s="19">
        <v>4</v>
      </c>
      <c r="N12" s="19">
        <v>10</v>
      </c>
      <c r="O12" s="20">
        <v>3</v>
      </c>
      <c r="P12" s="30"/>
      <c r="Q12" s="30"/>
      <c r="R12" s="5">
        <v>10</v>
      </c>
      <c r="S12" s="21" t="e">
        <f t="shared" si="0"/>
        <v>#VALUE!</v>
      </c>
      <c r="U12" s="16" t="s">
        <v>3</v>
      </c>
      <c r="V12" s="26" t="e">
        <f>(YEAR($B$18)-YEAR(DATE(YEAR($B$18)-1,MONTH($B$13),DAY($B$13))))*12+MONTH($B$18)-MONTH(DATE(YEAR($B$18)-1,MONTH($B$13),DAY($B$13)))</f>
        <v>#VALUE!</v>
      </c>
    </row>
    <row r="13" spans="1:22" ht="12.75" customHeight="1" x14ac:dyDescent="0.25">
      <c r="A13" s="73" t="s">
        <v>14</v>
      </c>
      <c r="B13" s="110" t="str">
        <f>IF('HP Equipment 1'!B13="","",'HP Equipment 1'!B13)</f>
        <v/>
      </c>
      <c r="C13" s="74"/>
      <c r="E13" s="5" t="str">
        <f t="shared" si="2"/>
        <v/>
      </c>
      <c r="F13" s="6" t="str">
        <f>IF(IF(OR(I12="",I12=0),"",IF(ROUND(MIN($V$2*3,$B$36-SUM($J$6:$J12)),0)&lt;0,0,ROUND(MIN($V$2*3,$B$36-SUM($J$6:$J12)),0)))&gt;0,IF(OR(I12="",I12=0),"",IF(ROUND(MIN($V$2*3,$B$36-SUM($J$6:$J12)),0)&lt;0,0,ROUND(MIN($V$2*3,$B$36-SUM($J$6:$J12)),0))),0)</f>
        <v/>
      </c>
      <c r="G13" s="6" t="str">
        <f>IF(IF(OR(F13="",F13=0),"",IF(ROUND(MIN($V$2*3,$B$36-SUM($J$6:$J12)-SUM($F13:F13)),0)&lt;0,0,ROUND(MIN($V$2*3,$B$36-SUM($J$6:$J12)-SUM($F13:F13)),0)))&gt;0,IF(OR(F13="",F13=0),"",IF(ROUND(MIN($V$2*3,$B$36-SUM($J$6:$J12)-SUM($F13:F13)),0)&lt;0,0,ROUND(MIN($V$2*3,$B$36-SUM($J$6:$J12)-SUM($F13:F13)),0))),0)</f>
        <v/>
      </c>
      <c r="H13" s="6" t="str">
        <f>IF(IF(OR(G13="",G13=0),"",IF(ROUND(MIN($V$2*3,$B$36-SUM($J$6:$J12)-SUM($F13:G13)),0)&lt;0,0,ROUND(MIN($V$2*3,$B$36-SUM($J$6:$J12)-SUM($F13:G13)),0)))&gt;0,IF(OR(G13="",G13=0),"",IF(ROUND(MIN($V$2*3,$B$36-SUM($J$6:$J12)-SUM($F13:G13)),0)&lt;0,0,ROUND(MIN($V$2*3,$B$36-SUM($J$6:$J12)-SUM($F13:G13)),0))),0)</f>
        <v/>
      </c>
      <c r="I13" s="6" t="str">
        <f>IF(IF(OR(H13="",H13=0),"",IF(ROUND(MIN($V$2*3,$B$36-SUM($J$6:$J12)-SUM($F13:H13)),0)&lt;0,0,ROUND(MIN($V$2*3,$B$36-SUM($J$6:$J12)-SUM($F13:H13)),0)))&gt;0,IF(OR(H13="",H13=0),"",IF(ROUND(MIN($V$2*3,$B$36-SUM($J$6:$J12)-SUM($F13:H13)),0)&lt;0,0,ROUND(MIN($V$2*3,$B$36-SUM($J$6:$J12)-SUM($F13:H13)),0))),0)</f>
        <v/>
      </c>
      <c r="J13" s="7" t="str">
        <f t="shared" si="1"/>
        <v/>
      </c>
      <c r="L13" s="18">
        <v>11</v>
      </c>
      <c r="M13" s="19">
        <v>4</v>
      </c>
      <c r="N13" s="19">
        <v>11</v>
      </c>
      <c r="O13" s="20">
        <v>2</v>
      </c>
      <c r="P13" s="30"/>
      <c r="Q13" s="30"/>
      <c r="R13" s="5">
        <v>11</v>
      </c>
      <c r="S13" s="21" t="e">
        <f t="shared" si="0"/>
        <v>#VALUE!</v>
      </c>
      <c r="U13" s="22" t="s">
        <v>2</v>
      </c>
      <c r="V13" s="21" t="e">
        <f>LOOKUP(V12,$L$3:$L$26,$M$3:$M$26)</f>
        <v>#VALUE!</v>
      </c>
    </row>
    <row r="14" spans="1:22" ht="12.75" customHeight="1" thickBot="1" x14ac:dyDescent="0.3">
      <c r="A14" s="73" t="s">
        <v>86</v>
      </c>
      <c r="B14" s="58" t="str">
        <f>IF('HP Equipment 1'!B14="","",'HP Equipment 1'!B14)</f>
        <v/>
      </c>
      <c r="C14" s="74"/>
      <c r="E14" s="5" t="str">
        <f t="shared" si="2"/>
        <v/>
      </c>
      <c r="F14" s="6" t="str">
        <f>IF(IF(OR(I13="",I13=0),"",IF(ROUND(MIN($V$2*3,$B$36-SUM($J$6:$J13)),0)&lt;0,0,ROUND(MIN($V$2*3,$B$36-SUM($J$6:$J13)),0)))&gt;0,IF(OR(I13="",I13=0),"",IF(ROUND(MIN($V$2*3,$B$36-SUM($J$6:$J13)),0)&lt;0,0,ROUND(MIN($V$2*3,$B$36-SUM($J$6:$J13)),0))),0)</f>
        <v/>
      </c>
      <c r="G14" s="6" t="str">
        <f>IF(IF(OR(F14="",F14=0),"",IF(ROUND(MIN($V$2*3,$B$36-SUM($J$6:$J13)-SUM($F14:F14)),0)&lt;0,0,ROUND(MIN($V$2*3,$B$36-SUM($J$6:$J13)-SUM($F14:F14)),0)))&gt;0,IF(OR(F14="",F14=0),"",IF(ROUND(MIN($V$2*3,$B$36-SUM($J$6:$J13)-SUM($F14:F14)),0)&lt;0,0,ROUND(MIN($V$2*3,$B$36-SUM($J$6:$J13)-SUM($F14:F14)),0))),0)</f>
        <v/>
      </c>
      <c r="H14" s="6" t="str">
        <f>IF(IF(OR(G14="",G14=0),"",IF(ROUND(MIN($V$2*3,$B$36-SUM($J$6:$J13)-SUM($F14:G14)),0)&lt;0,0,ROUND(MIN($V$2*3,$B$36-SUM($J$6:$J13)-SUM($F14:G14)),0)))&gt;0,IF(OR(G14="",G14=0),"",IF(ROUND(MIN($V$2*3,$B$36-SUM($J$6:$J13)-SUM($F14:G14)),0)&lt;0,0,ROUND(MIN($V$2*3,$B$36-SUM($J$6:$J13)-SUM($F14:G14)),0))),0)</f>
        <v/>
      </c>
      <c r="I14" s="6" t="str">
        <f>IF(IF(OR(H14="",H14=0),"",IF(ROUND(MIN($V$2*3,$B$36-SUM($J$6:$J13)-SUM($F14:H14)),0)&lt;0,0,ROUND(MIN($V$2*3,$B$36-SUM($J$6:$J13)-SUM($F14:H14)),0)))&gt;0,IF(OR(H14="",H14=0),"",IF(ROUND(MIN($V$2*3,$B$36-SUM($J$6:$J13)-SUM($F14:H14)),0)&lt;0,0,ROUND(MIN($V$2*3,$B$36-SUM($J$6:$J13)-SUM($F14:H14)),0))),0)</f>
        <v/>
      </c>
      <c r="J14" s="7" t="str">
        <f t="shared" si="1"/>
        <v/>
      </c>
      <c r="L14" s="18">
        <v>12</v>
      </c>
      <c r="M14" s="19">
        <v>4</v>
      </c>
      <c r="N14" s="19">
        <v>12</v>
      </c>
      <c r="O14" s="20">
        <v>1</v>
      </c>
      <c r="R14" s="5">
        <v>12</v>
      </c>
      <c r="S14" s="21" t="e">
        <f t="shared" si="0"/>
        <v>#VALUE!</v>
      </c>
      <c r="U14" s="28" t="s">
        <v>9</v>
      </c>
      <c r="V14" s="29" t="e">
        <f>DATE(YEAR($B$42),MONTH($B$13),DAY($B$13))</f>
        <v>#VALUE!</v>
      </c>
    </row>
    <row r="15" spans="1:22" ht="12.75" customHeight="1" thickBot="1" x14ac:dyDescent="0.3">
      <c r="A15" s="73"/>
      <c r="B15" s="58"/>
      <c r="C15" s="74"/>
      <c r="E15" s="5" t="str">
        <f t="shared" si="2"/>
        <v/>
      </c>
      <c r="F15" s="6" t="str">
        <f>IF(IF(OR(I14="",I14=0),"",IF(ROUND(MIN($V$2*3,$B$36-SUM($J$6:$J14)),0)&lt;0,0,ROUND(MIN($V$2*3,$B$36-SUM($J$6:$J14)),0)))&gt;0,IF(OR(I14="",I14=0),"",IF(ROUND(MIN($V$2*3,$B$36-SUM($J$6:$J14)),0)&lt;0,0,ROUND(MIN($V$2*3,$B$36-SUM($J$6:$J14)),0))),0)</f>
        <v/>
      </c>
      <c r="G15" s="6" t="str">
        <f>IF(IF(OR(F15="",F15=0),"",IF(ROUND(MIN($V$2*3,$B$36-SUM($J$6:$J14)-SUM($F15:F15)),0)&lt;0,0,ROUND(MIN($V$2*3,$B$36-SUM($J$6:$J14)-SUM($F15:F15)),0)))&gt;0,IF(OR(F15="",F15=0),"",IF(ROUND(MIN($V$2*3,$B$36-SUM($J$6:$J14)-SUM($F15:F15)),0)&lt;0,0,ROUND(MIN($V$2*3,$B$36-SUM($J$6:$J14)-SUM($F15:F15)),0))),0)</f>
        <v/>
      </c>
      <c r="H15" s="6" t="str">
        <f>IF(IF(OR(G15="",G15=0),"",IF(ROUND(MIN($V$2*3,$B$36-SUM($J$6:$J14)-SUM($F15:G15)),0)&lt;0,0,ROUND(MIN($V$2*3,$B$36-SUM($J$6:$J14)-SUM($F15:G15)),0)))&gt;0,IF(OR(G15="",G15=0),"",IF(ROUND(MIN($V$2*3,$B$36-SUM($J$6:$J14)-SUM($F15:G15)),0)&lt;0,0,ROUND(MIN($V$2*3,$B$36-SUM($J$6:$J14)-SUM($F15:G15)),0))),0)</f>
        <v/>
      </c>
      <c r="I15" s="6" t="str">
        <f>IF(IF(OR(H15="",H15=0),"",IF(ROUND(MIN($V$2*3,$B$36-SUM($J$6:$J14)-SUM($F15:H15)),0)&lt;0,0,ROUND(MIN($V$2*3,$B$36-SUM($J$6:$J14)-SUM($F15:H15)),0)))&gt;0,IF(OR(H15="",H15=0),"",IF(ROUND(MIN($V$2*3,$B$36-SUM($J$6:$J14)-SUM($F15:H15)),0)&lt;0,0,ROUND(MIN($V$2*3,$B$36-SUM($J$6:$J14)-SUM($F15:H15)),0))),0)</f>
        <v/>
      </c>
      <c r="J15" s="7" t="str">
        <f t="shared" si="1"/>
        <v/>
      </c>
      <c r="L15" s="18">
        <v>13</v>
      </c>
      <c r="M15" s="19">
        <v>1</v>
      </c>
      <c r="N15" s="19">
        <v>13</v>
      </c>
      <c r="O15" s="20">
        <v>3</v>
      </c>
      <c r="R15" s="5">
        <v>13</v>
      </c>
      <c r="S15" s="21" t="e">
        <f t="shared" si="0"/>
        <v>#VALUE!</v>
      </c>
    </row>
    <row r="16" spans="1:22" ht="13.8" thickBot="1" x14ac:dyDescent="0.3">
      <c r="A16" s="70" t="s">
        <v>41</v>
      </c>
      <c r="B16" s="95"/>
      <c r="C16" s="72"/>
      <c r="E16" s="5" t="str">
        <f t="shared" si="2"/>
        <v/>
      </c>
      <c r="F16" s="6" t="str">
        <f>IF(IF(OR(I15="",I15=0),"",IF(ROUND(MIN($V$2*3,$B$36-SUM($J$6:$J15)),0)&lt;0,0,ROUND(MIN($V$2*3,$B$36-SUM($J$6:$J15)),0)))&gt;0,IF(OR(I15="",I15=0),"",IF(ROUND(MIN($V$2*3,$B$36-SUM($J$6:$J15)),0)&lt;0,0,ROUND(MIN($V$2*3,$B$36-SUM($J$6:$J15)),0))),0)</f>
        <v/>
      </c>
      <c r="G16" s="6" t="str">
        <f>IF(IF(OR(F16="",F16=0),"",IF(ROUND(MIN($V$2*3,$B$36-SUM($J$6:$J15)-SUM($F16:F16)),0)&lt;0,0,ROUND(MIN($V$2*3,$B$36-SUM($J$6:$J15)-SUM($F16:F16)),0)))&gt;0,IF(OR(F16="",F16=0),"",IF(ROUND(MIN($V$2*3,$B$36-SUM($J$6:$J15)-SUM($F16:F16)),0)&lt;0,0,ROUND(MIN($V$2*3,$B$36-SUM($J$6:$J15)-SUM($F16:F16)),0))),0)</f>
        <v/>
      </c>
      <c r="H16" s="6" t="str">
        <f>IF(IF(OR(G16="",G16=0),"",IF(ROUND(MIN($V$2*3,$B$36-SUM($J$6:$J15)-SUM($F16:G16)),0)&lt;0,0,ROUND(MIN($V$2*3,$B$36-SUM($J$6:$J15)-SUM($F16:G16)),0)))&gt;0,IF(OR(G16="",G16=0),"",IF(ROUND(MIN($V$2*3,$B$36-SUM($J$6:$J15)-SUM($F16:G16)),0)&lt;0,0,ROUND(MIN($V$2*3,$B$36-SUM($J$6:$J15)-SUM($F16:G16)),0))),0)</f>
        <v/>
      </c>
      <c r="I16" s="6" t="str">
        <f>IF(IF(OR(H16="",H16=0),"",IF(ROUND(MIN($V$2*3,$B$36-SUM($J$6:$J15)-SUM($F16:H16)),0)&lt;0,0,ROUND(MIN($V$2*3,$B$36-SUM($J$6:$J15)-SUM($F16:H16)),0)))&gt;0,IF(OR(H16="",H16=0),"",IF(ROUND(MIN($V$2*3,$B$36-SUM($J$6:$J15)-SUM($F16:H16)),0)&lt;0,0,ROUND(MIN($V$2*3,$B$36-SUM($J$6:$J15)-SUM($F16:H16)),0))),0)</f>
        <v/>
      </c>
      <c r="J16" s="7" t="str">
        <f t="shared" si="1"/>
        <v/>
      </c>
      <c r="L16" s="18">
        <v>14</v>
      </c>
      <c r="M16" s="19">
        <v>1</v>
      </c>
      <c r="N16" s="19">
        <v>14</v>
      </c>
      <c r="O16" s="20">
        <v>2</v>
      </c>
      <c r="R16" s="5">
        <v>14</v>
      </c>
      <c r="S16" s="21" t="e">
        <f t="shared" si="0"/>
        <v>#VALUE!</v>
      </c>
      <c r="U16" s="1" t="s">
        <v>49</v>
      </c>
    </row>
    <row r="17" spans="1:34" ht="12" customHeight="1" x14ac:dyDescent="0.25">
      <c r="A17" s="73" t="s">
        <v>27</v>
      </c>
      <c r="B17" s="75"/>
      <c r="C17" s="74"/>
      <c r="E17" s="5" t="str">
        <f t="shared" si="2"/>
        <v/>
      </c>
      <c r="F17" s="6" t="str">
        <f>IF(IF(OR(I16="",I16=0),"",IF(ROUND(MIN($V$2*3,$B$36-SUM($J$6:$J16)),0)&lt;0,0,ROUND(MIN($V$2*3,$B$36-SUM($J$6:$J16)),0)))&gt;0,IF(OR(I16="",I16=0),"",IF(ROUND(MIN($V$2*3,$B$36-SUM($J$6:$J16)),0)&lt;0,0,ROUND(MIN($V$2*3,$B$36-SUM($J$6:$J16)),0))),0)</f>
        <v/>
      </c>
      <c r="G17" s="6" t="str">
        <f>IF(IF(OR(F17="",F17=0),"",IF(ROUND(MIN($V$2*3,$B$36-SUM($J$6:$J16)-SUM($F17:F17)),0)&lt;0,0,ROUND(MIN($V$2*3,$B$36-SUM($J$6:$J16)-SUM($F17:F17)),0)))&gt;0,IF(OR(F17="",F17=0),"",IF(ROUND(MIN($V$2*3,$B$36-SUM($J$6:$J16)-SUM($F17:F17)),0)&lt;0,0,ROUND(MIN($V$2*3,$B$36-SUM($J$6:$J16)-SUM($F17:F17)),0))),0)</f>
        <v/>
      </c>
      <c r="H17" s="6" t="str">
        <f>IF(IF(OR(G17="",G17=0),"",IF(ROUND(MIN($V$2*3,$B$36-SUM($J$6:$J16)-SUM($F17:G17)),0)&lt;0,0,ROUND(MIN($V$2*3,$B$36-SUM($J$6:$J16)-SUM($F17:G17)),0)))&gt;0,IF(OR(G17="",G17=0),"",IF(ROUND(MIN($V$2*3,$B$36-SUM($J$6:$J16)-SUM($F17:G17)),0)&lt;0,0,ROUND(MIN($V$2*3,$B$36-SUM($J$6:$J16)-SUM($F17:G17)),0))),0)</f>
        <v/>
      </c>
      <c r="I17" s="6" t="str">
        <f>IF(IF(OR(H17="",H17=0),"",IF(ROUND(MIN($V$2*3,$B$36-SUM($J$6:$J16)-SUM($F17:H17)),0)&lt;0,0,ROUND(MIN($V$2*3,$B$36-SUM($J$6:$J16)-SUM($F17:H17)),0)))&gt;0,IF(OR(H17="",H17=0),"",IF(ROUND(MIN($V$2*3,$B$36-SUM($J$6:$J16)-SUM($F17:H17)),0)&lt;0,0,ROUND(MIN($V$2*3,$B$36-SUM($J$6:$J16)-SUM($F17:H17)),0))),0)</f>
        <v/>
      </c>
      <c r="J17" s="7" t="str">
        <f t="shared" si="1"/>
        <v/>
      </c>
      <c r="L17" s="18">
        <v>15</v>
      </c>
      <c r="M17" s="19">
        <v>1</v>
      </c>
      <c r="N17" s="19">
        <v>15</v>
      </c>
      <c r="O17" s="20">
        <v>1</v>
      </c>
      <c r="R17" s="5">
        <v>15</v>
      </c>
      <c r="S17" s="21" t="e">
        <f t="shared" si="0"/>
        <v>#VALUE!</v>
      </c>
      <c r="U17" s="104" t="s">
        <v>0</v>
      </c>
      <c r="V17" s="34" t="str">
        <f>IF(ISERROR(IF(B19&gt;V18,YEAR(V18)+2,YEAR(V18)+1)),"Please enter the correct relevant period",IF(B19&gt;V18,YEAR(V18)+2,YEAR(V18)+1))</f>
        <v>Please enter the correct relevant period</v>
      </c>
    </row>
    <row r="18" spans="1:34" ht="12" customHeight="1" thickBot="1" x14ac:dyDescent="0.3">
      <c r="A18" s="105" t="s">
        <v>48</v>
      </c>
      <c r="B18" s="76"/>
      <c r="C18" s="74"/>
      <c r="E18" s="5" t="str">
        <f t="shared" si="2"/>
        <v/>
      </c>
      <c r="F18" s="6" t="str">
        <f>IF(IF(OR(I17="",I17=0),"",IF(ROUND(MIN($V$2*3,$B$36-SUM($J$6:$J17)),0)&lt;0,0,ROUND(MIN($V$2*3,$B$36-SUM($J$6:$J17)),0)))&gt;0,IF(OR(I17="",I17=0),"",IF(ROUND(MIN($V$2*3,$B$36-SUM($J$6:$J17)),0)&lt;0,0,ROUND(MIN($V$2*3,$B$36-SUM($J$6:$J17)),0))),0)</f>
        <v/>
      </c>
      <c r="G18" s="6" t="str">
        <f>IF(IF(OR(F18="",F18=0),"",IF(ROUND(MIN($V$2*3,$B$36-SUM($J$6:$J17)-SUM($F18:F18)),0)&lt;0,0,ROUND(MIN($V$2*3,$B$36-SUM($J$6:$J17)-SUM($F18:F18)),0)))&gt;0,IF(OR(F18="",F18=0),"",IF(ROUND(MIN($V$2*3,$B$36-SUM($J$6:$J17)-SUM($F18:F18)),0)&lt;0,0,ROUND(MIN($V$2*3,$B$36-SUM($J$6:$J17)-SUM($F18:F18)),0))),0)</f>
        <v/>
      </c>
      <c r="H18" s="6" t="str">
        <f>IF(IF(OR(G18="",G18=0),"",IF(ROUND(MIN($V$2*3,$B$36-SUM($J$6:$J17)-SUM($F18:G18)),0)&lt;0,0,ROUND(MIN($V$2*3,$B$36-SUM($J$6:$J17)-SUM($F18:G18)),0)))&gt;0,IF(OR(G18="",G18=0),"",IF(ROUND(MIN($V$2*3,$B$36-SUM($J$6:$J17)-SUM($F18:G18)),0)&lt;0,0,ROUND(MIN($V$2*3,$B$36-SUM($J$6:$J17)-SUM($F18:G18)),0))),0)</f>
        <v/>
      </c>
      <c r="I18" s="6" t="str">
        <f>IF(IF(OR(H18="",H18=0),"",IF(ROUND(MIN($V$2*3,$B$36-SUM($J$6:$J17)-SUM($F18:H18)),0)&lt;0,0,ROUND(MIN($V$2*3,$B$36-SUM($J$6:$J17)-SUM($F18:H18)),0)))&gt;0,IF(OR(H18="",H18=0),"",IF(ROUND(MIN($V$2*3,$B$36-SUM($J$6:$J17)-SUM($F18:H18)),0)&lt;0,0,ROUND(MIN($V$2*3,$B$36-SUM($J$6:$J17)-SUM($F18:H18)),0))),0)</f>
        <v/>
      </c>
      <c r="J18" s="7" t="str">
        <f t="shared" si="1"/>
        <v/>
      </c>
      <c r="L18" s="18">
        <v>16</v>
      </c>
      <c r="M18" s="19">
        <v>2</v>
      </c>
      <c r="N18" s="19">
        <v>16</v>
      </c>
      <c r="O18" s="20">
        <v>3</v>
      </c>
      <c r="R18" s="5">
        <v>16</v>
      </c>
      <c r="S18" s="21" t="e">
        <f t="shared" si="0"/>
        <v>#VALUE!</v>
      </c>
      <c r="U18" s="28" t="s">
        <v>9</v>
      </c>
      <c r="V18" s="103" t="e">
        <f>DATE(YEAR($B$19),MONTH($B$13),DAY($B$13))</f>
        <v>#VALUE!</v>
      </c>
    </row>
    <row r="19" spans="1:34" ht="12" customHeight="1" x14ac:dyDescent="0.25">
      <c r="A19" s="73" t="s">
        <v>47</v>
      </c>
      <c r="B19" s="77"/>
      <c r="C19" s="74"/>
      <c r="E19" s="5" t="str">
        <f t="shared" si="2"/>
        <v/>
      </c>
      <c r="F19" s="6" t="str">
        <f>IF(IF(OR(I18="",I18=0),"",IF(ROUND(MIN($V$2*3,$B$36-SUM($J$6:$J18)),0)&lt;0,0,ROUND(MIN($V$2*3,$B$36-SUM($J$6:$J18)),0)))&gt;0,IF(OR(I18="",I18=0),"",IF(ROUND(MIN($V$2*3,$B$36-SUM($J$6:$J18)),0)&lt;0,0,ROUND(MIN($V$2*3,$B$36-SUM($J$6:$J18)),0))),0)</f>
        <v/>
      </c>
      <c r="G19" s="6" t="str">
        <f>IF(IF(OR(F19="",F19=0),"",IF(ROUND(MIN($V$2*3,$B$36-SUM($J$6:$J18)-SUM($F19:F19)),0)&lt;0,0,ROUND(MIN($V$2*3,$B$36-SUM($J$6:$J18)-SUM($F19:F19)),0)))&gt;0,IF(OR(F19="",F19=0),"",IF(ROUND(MIN($V$2*3,$B$36-SUM($J$6:$J18)-SUM($F19:F19)),0)&lt;0,0,ROUND(MIN($V$2*3,$B$36-SUM($J$6:$J18)-SUM($F19:F19)),0))),0)</f>
        <v/>
      </c>
      <c r="H19" s="6" t="str">
        <f>IF(IF(OR(G19="",G19=0),"",IF(ROUND(MIN($V$2*3,$B$36-SUM($J$6:$J18)-SUM($F19:G19)),0)&lt;0,0,ROUND(MIN($V$2*3,$B$36-SUM($J$6:$J18)-SUM($F19:G19)),0)))&gt;0,IF(OR(G19="",G19=0),"",IF(ROUND(MIN($V$2*3,$B$36-SUM($J$6:$J18)-SUM($F19:G19)),0)&lt;0,0,ROUND(MIN($V$2*3,$B$36-SUM($J$6:$J18)-SUM($F19:G19)),0))),0)</f>
        <v/>
      </c>
      <c r="I19" s="6" t="str">
        <f>IF(IF(OR(H19="",H19=0),"",IF(ROUND(MIN($V$2*3,$B$36-SUM($J$6:$J18)-SUM($F19:H19)),0)&lt;0,0,ROUND(MIN($V$2*3,$B$36-SUM($J$6:$J18)-SUM($F19:H19)),0)))&gt;0,IF(OR(H19="",H19=0),"",IF(ROUND(MIN($V$2*3,$B$36-SUM($J$6:$J18)-SUM($F19:H19)),0)&lt;0,0,ROUND(MIN($V$2*3,$B$36-SUM($J$6:$J18)-SUM($F19:H19)),0))),0)</f>
        <v/>
      </c>
      <c r="J19" s="7" t="str">
        <f t="shared" si="1"/>
        <v/>
      </c>
      <c r="L19" s="18">
        <v>17</v>
      </c>
      <c r="M19" s="19">
        <v>2</v>
      </c>
      <c r="N19" s="19">
        <v>17</v>
      </c>
      <c r="O19" s="20">
        <v>2</v>
      </c>
      <c r="R19" s="5">
        <v>17</v>
      </c>
      <c r="S19" s="21" t="e">
        <f t="shared" si="0"/>
        <v>#VALUE!</v>
      </c>
    </row>
    <row r="20" spans="1:34" ht="12" customHeight="1" thickBot="1" x14ac:dyDescent="0.3">
      <c r="A20" s="73" t="s">
        <v>26</v>
      </c>
      <c r="B20" s="78"/>
      <c r="C20" s="74"/>
      <c r="E20" s="5" t="str">
        <f t="shared" si="2"/>
        <v/>
      </c>
      <c r="F20" s="6" t="str">
        <f>IF(IF(OR(I19="",I19=0),"",IF(ROUND(MIN($V$2*3,$B$36-SUM($J$6:$J19)),0)&lt;0,0,ROUND(MIN($V$2*3,$B$36-SUM($J$6:$J19)),0)))&gt;0,IF(OR(I19="",I19=0),"",IF(ROUND(MIN($V$2*3,$B$36-SUM($J$6:$J19)),0)&lt;0,0,ROUND(MIN($V$2*3,$B$36-SUM($J$6:$J19)),0))),0)</f>
        <v/>
      </c>
      <c r="G20" s="6" t="str">
        <f>IF(IF(OR(F20="",F20=0),"",IF(ROUND(MIN($V$2*3,$B$36-SUM($J$6:$J19)-SUM($F20:F20)),0)&lt;0,0,ROUND(MIN($V$2*3,$B$36-SUM($J$6:$J19)-SUM($F20:F20)),0)))&gt;0,IF(OR(F20="",F20=0),"",IF(ROUND(MIN($V$2*3,$B$36-SUM($J$6:$J19)-SUM($F20:F20)),0)&lt;0,0,ROUND(MIN($V$2*3,$B$36-SUM($J$6:$J19)-SUM($F20:F20)),0))),0)</f>
        <v/>
      </c>
      <c r="H20" s="6" t="str">
        <f>IF(IF(OR(G20="",G20=0),"",IF(ROUND(MIN($V$2*3,$B$36-SUM($J$6:$J19)-SUM($F20:G20)),0)&lt;0,0,ROUND(MIN($V$2*3,$B$36-SUM($J$6:$J19)-SUM($F20:G20)),0)))&gt;0,IF(OR(G20="",G20=0),"",IF(ROUND(MIN($V$2*3,$B$36-SUM($J$6:$J19)-SUM($F20:G20)),0)&lt;0,0,ROUND(MIN($V$2*3,$B$36-SUM($J$6:$J19)-SUM($F20:G20)),0))),0)</f>
        <v/>
      </c>
      <c r="I20" s="6" t="str">
        <f>IF(IF(OR(H20="",H20=0),"",IF(ROUND(MIN($V$2*3,$B$36-SUM($J$6:$J19)-SUM($F20:H20)),0)&lt;0,0,ROUND(MIN($V$2*3,$B$36-SUM($J$6:$J19)-SUM($F20:H20)),0)))&gt;0,IF(OR(H20="",H20=0),"",IF(ROUND(MIN($V$2*3,$B$36-SUM($J$6:$J19)-SUM($F20:H20)),0)&lt;0,0,ROUND(MIN($V$2*3,$B$36-SUM($J$6:$J19)-SUM($F20:H20)),0))),0)</f>
        <v/>
      </c>
      <c r="J20" s="7" t="str">
        <f t="shared" si="1"/>
        <v/>
      </c>
      <c r="L20" s="18">
        <v>18</v>
      </c>
      <c r="M20" s="19">
        <v>2</v>
      </c>
      <c r="N20" s="19">
        <v>18</v>
      </c>
      <c r="O20" s="20">
        <v>1</v>
      </c>
      <c r="R20" s="5">
        <v>18</v>
      </c>
      <c r="S20" s="21" t="e">
        <f t="shared" si="0"/>
        <v>#VALUE!</v>
      </c>
      <c r="U20" s="1" t="s">
        <v>50</v>
      </c>
    </row>
    <row r="21" spans="1:34" ht="12" customHeight="1" x14ac:dyDescent="0.25">
      <c r="A21" s="73" t="s">
        <v>30</v>
      </c>
      <c r="B21" s="79"/>
      <c r="C21" s="74"/>
      <c r="E21" s="5" t="str">
        <f t="shared" si="2"/>
        <v/>
      </c>
      <c r="F21" s="6" t="str">
        <f>IF(IF(OR(I20="",I20=0),"",IF(ROUND(MIN($V$2*3,$B$36-SUM($J$6:$J20)),0)&lt;0,0,ROUND(MIN($V$2*3,$B$36-SUM($J$6:$J20)),0)))&gt;0,IF(OR(I20="",I20=0),"",IF(ROUND(MIN($V$2*3,$B$36-SUM($J$6:$J20)),0)&lt;0,0,ROUND(MIN($V$2*3,$B$36-SUM($J$6:$J20)),0))),0)</f>
        <v/>
      </c>
      <c r="G21" s="6" t="str">
        <f>IF(IF(OR(F21="",F21=0),"",IF(ROUND(MIN($V$2*3,$B$36-SUM($J$6:$J20)-SUM($F21:F21)),0)&lt;0,0,ROUND(MIN($V$2*3,$B$36-SUM($J$6:$J20)-SUM($F21:F21)),0)))&gt;0,IF(OR(F21="",F21=0),"",IF(ROUND(MIN($V$2*3,$B$36-SUM($J$6:$J20)-SUM($F21:F21)),0)&lt;0,0,ROUND(MIN($V$2*3,$B$36-SUM($J$6:$J20)-SUM($F21:F21)),0))),0)</f>
        <v/>
      </c>
      <c r="H21" s="6" t="str">
        <f>IF(IF(OR(G21="",G21=0),"",IF(ROUND(MIN($V$2*3,$B$36-SUM($J$6:$J20)-SUM($F21:G21)),0)&lt;0,0,ROUND(MIN($V$2*3,$B$36-SUM($J$6:$J20)-SUM($F21:G21)),0)))&gt;0,IF(OR(G21="",G21=0),"",IF(ROUND(MIN($V$2*3,$B$36-SUM($J$6:$J20)-SUM($F21:G21)),0)&lt;0,0,ROUND(MIN($V$2*3,$B$36-SUM($J$6:$J20)-SUM($F21:G21)),0))),0)</f>
        <v/>
      </c>
      <c r="I21" s="6" t="str">
        <f>IF(IF(OR(H21="",H21=0),"",IF(ROUND(MIN($V$2*3,$B$36-SUM($J$6:$J20)-SUM($F21:H21)),0)&lt;0,0,ROUND(MIN($V$2*3,$B$36-SUM($J$6:$J20)-SUM($F21:H21)),0)))&gt;0,IF(OR(H21="",H21=0),"",IF(ROUND(MIN($V$2*3,$B$36-SUM($J$6:$J20)-SUM($F21:H21)),0)&lt;0,0,ROUND(MIN($V$2*3,$B$36-SUM($J$6:$J20)-SUM($F21:H21)),0))),0)</f>
        <v/>
      </c>
      <c r="J21" s="7" t="str">
        <f t="shared" si="1"/>
        <v/>
      </c>
      <c r="L21" s="18">
        <v>19</v>
      </c>
      <c r="M21" s="19">
        <v>3</v>
      </c>
      <c r="N21" s="19">
        <v>19</v>
      </c>
      <c r="O21" s="20">
        <v>3</v>
      </c>
      <c r="R21" s="5">
        <v>19</v>
      </c>
      <c r="S21" s="21" t="e">
        <f t="shared" si="0"/>
        <v>#VALUE!</v>
      </c>
      <c r="U21" s="104" t="s">
        <v>0</v>
      </c>
      <c r="V21" s="34" t="str">
        <f>IF(ISERROR(IF(B18&gt;V22,YEAR(V22)+2,YEAR(V22)+1)),"Please enter the correct relevant period",IF(B18&gt;V22,YEAR(V22)+2,YEAR(V22)+1))</f>
        <v>Please enter the correct relevant period</v>
      </c>
    </row>
    <row r="22" spans="1:34" ht="12" customHeight="1" thickBot="1" x14ac:dyDescent="0.3">
      <c r="A22" s="73" t="s">
        <v>28</v>
      </c>
      <c r="B22" s="79"/>
      <c r="C22" s="74"/>
      <c r="E22" s="5" t="str">
        <f t="shared" si="2"/>
        <v/>
      </c>
      <c r="F22" s="6" t="str">
        <f>IF(IF(OR(I21="",I21=0),"",IF(ROUND(MIN($V$2*3,$B$36-SUM($J$6:$J21)),0)&lt;0,0,ROUND(MIN($V$2*3,$B$36-SUM($J$6:$J21)),0)))&gt;0,IF(OR(I21="",I21=0),"",IF(ROUND(MIN($V$2*3,$B$36-SUM($J$6:$J21)),0)&lt;0,0,ROUND(MIN($V$2*3,$B$36-SUM($J$6:$J21)),0))),0)</f>
        <v/>
      </c>
      <c r="G22" s="6" t="str">
        <f>IF(IF(OR(F22="",F22=0),"",IF(ROUND(MIN($V$2*3,$B$36-SUM($J$6:$J21)-SUM($F22:F22)),0)&lt;0,0,ROUND(MIN($V$2*3,$B$36-SUM($J$6:$J21)-SUM($F22:F22)),0)))&gt;0,IF(OR(F22="",F22=0),"",IF(ROUND(MIN($V$2*3,$B$36-SUM($J$6:$J21)-SUM($F22:F22)),0)&lt;0,0,ROUND(MIN($V$2*3,$B$36-SUM($J$6:$J21)-SUM($F22:F22)),0))),0)</f>
        <v/>
      </c>
      <c r="H22" s="6" t="str">
        <f>IF(IF(OR(G22="",G22=0),"",IF(ROUND(MIN($V$2*3,$B$36-SUM($J$6:$J21)-SUM($F22:G22)),0)&lt;0,0,ROUND(MIN($V$2*3,$B$36-SUM($J$6:$J21)-SUM($F22:G22)),0)))&gt;0,IF(OR(G22="",G22=0),"",IF(ROUND(MIN($V$2*3,$B$36-SUM($J$6:$J21)-SUM($F22:G22)),0)&lt;0,0,ROUND(MIN($V$2*3,$B$36-SUM($J$6:$J21)-SUM($F22:G22)),0))),0)</f>
        <v/>
      </c>
      <c r="I22" s="6" t="str">
        <f>IF(IF(OR(H22="",H22=0),"",IF(ROUND(MIN($V$2*3,$B$36-SUM($J$6:$J21)-SUM($F22:H22)),0)&lt;0,0,ROUND(MIN($V$2*3,$B$36-SUM($J$6:$J21)-SUM($F22:H22)),0)))&gt;0,IF(OR(H22="",H22=0),"",IF(ROUND(MIN($V$2*3,$B$36-SUM($J$6:$J21)-SUM($F22:H22)),0)&lt;0,0,ROUND(MIN($V$2*3,$B$36-SUM($J$6:$J21)-SUM($F22:H22)),0))),0)</f>
        <v/>
      </c>
      <c r="J22" s="7" t="str">
        <f t="shared" si="1"/>
        <v/>
      </c>
      <c r="L22" s="18">
        <v>20</v>
      </c>
      <c r="M22" s="19">
        <v>3</v>
      </c>
      <c r="N22" s="19">
        <v>20</v>
      </c>
      <c r="O22" s="20">
        <v>2</v>
      </c>
      <c r="R22" s="5">
        <v>20</v>
      </c>
      <c r="S22" s="21" t="e">
        <f t="shared" si="0"/>
        <v>#VALUE!</v>
      </c>
      <c r="U22" s="28" t="s">
        <v>9</v>
      </c>
      <c r="V22" s="103" t="e">
        <f>DATE(YEAR($B$18),MONTH($B$13),DAY($B$13))</f>
        <v>#VALUE!</v>
      </c>
    </row>
    <row r="23" spans="1:34" ht="12" customHeight="1" x14ac:dyDescent="0.25">
      <c r="A23" s="73" t="s">
        <v>29</v>
      </c>
      <c r="B23" s="79"/>
      <c r="C23" s="74"/>
      <c r="E23" s="5" t="str">
        <f t="shared" si="2"/>
        <v/>
      </c>
      <c r="F23" s="6" t="str">
        <f>IF(IF(OR(I22="",I22=0),"",IF(ROUND(MIN($V$2*3,$B$36-SUM($J$6:$J22)),0)&lt;0,0,ROUND(MIN($V$2*3,$B$36-SUM($J$6:$J22)),0)))&gt;0,IF(OR(I22="",I22=0),"",IF(ROUND(MIN($V$2*3,$B$36-SUM($J$6:$J22)),0)&lt;0,0,ROUND(MIN($V$2*3,$B$36-SUM($J$6:$J22)),0))),0)</f>
        <v/>
      </c>
      <c r="G23" s="6" t="str">
        <f>IF(IF(OR(F23="",F23=0),"",IF(ROUND(MIN($V$2*3,$B$36-SUM($J$6:$J22)-SUM($F23:F23)),0)&lt;0,0,ROUND(MIN($V$2*3,$B$36-SUM($J$6:$J22)-SUM($F23:F23)),0)))&gt;0,IF(OR(F23="",F23=0),"",IF(ROUND(MIN($V$2*3,$B$36-SUM($J$6:$J22)-SUM($F23:F23)),0)&lt;0,0,ROUND(MIN($V$2*3,$B$36-SUM($J$6:$J22)-SUM($F23:F23)),0))),0)</f>
        <v/>
      </c>
      <c r="H23" s="6" t="str">
        <f>IF(IF(OR(G23="",G23=0),"",IF(ROUND(MIN($V$2*3,$B$36-SUM($J$6:$J22)-SUM($F23:G23)),0)&lt;0,0,ROUND(MIN($V$2*3,$B$36-SUM($J$6:$J22)-SUM($F23:G23)),0)))&gt;0,IF(OR(G23="",G23=0),"",IF(ROUND(MIN($V$2*3,$B$36-SUM($J$6:$J22)-SUM($F23:G23)),0)&lt;0,0,ROUND(MIN($V$2*3,$B$36-SUM($J$6:$J22)-SUM($F23:G23)),0))),0)</f>
        <v/>
      </c>
      <c r="I23" s="6" t="str">
        <f>IF(IF(OR(H23="",H23=0),"",IF(ROUND(MIN($V$2*3,$B$36-SUM($J$6:$J22)-SUM($F23:H23)),0)&lt;0,0,ROUND(MIN($V$2*3,$B$36-SUM($J$6:$J22)-SUM($F23:H23)),0)))&gt;0,IF(OR(H23="",H23=0),"",IF(ROUND(MIN($V$2*3,$B$36-SUM($J$6:$J22)-SUM($F23:H23)),0)&lt;0,0,ROUND(MIN($V$2*3,$B$36-SUM($J$6:$J22)-SUM($F23:H23)),0))),0)</f>
        <v/>
      </c>
      <c r="J23" s="7" t="str">
        <f t="shared" si="1"/>
        <v/>
      </c>
      <c r="L23" s="18">
        <v>21</v>
      </c>
      <c r="M23" s="19">
        <v>3</v>
      </c>
      <c r="N23" s="19">
        <v>21</v>
      </c>
      <c r="O23" s="20">
        <v>1</v>
      </c>
      <c r="R23" s="5">
        <v>21</v>
      </c>
      <c r="S23" s="21" t="e">
        <f t="shared" si="0"/>
        <v>#VALUE!</v>
      </c>
    </row>
    <row r="24" spans="1:34" ht="12" customHeight="1" thickBot="1" x14ac:dyDescent="0.3">
      <c r="A24" s="73"/>
      <c r="B24" s="58"/>
      <c r="C24" s="74"/>
      <c r="E24" s="5" t="str">
        <f t="shared" si="2"/>
        <v/>
      </c>
      <c r="F24" s="6" t="str">
        <f>IF(IF(OR(I23="",I23=0),"",IF(ROUND(MIN($V$2*3,$B$36-SUM($J$6:$J23)),0)&lt;0,0,ROUND(MIN($V$2*3,$B$36-SUM($J$6:$J23)),0)))&gt;0,IF(OR(I23="",I23=0),"",IF(ROUND(MIN($V$2*3,$B$36-SUM($J$6:$J23)),0)&lt;0,0,ROUND(MIN($V$2*3,$B$36-SUM($J$6:$J23)),0))),0)</f>
        <v/>
      </c>
      <c r="G24" s="6" t="str">
        <f>IF(IF(OR(F24="",F24=0),"",IF(ROUND(MIN($V$2*3,$B$36-SUM($J$6:$J23)-SUM($F24:F24)),0)&lt;0,0,ROUND(MIN($V$2*3,$B$36-SUM($J$6:$J23)-SUM($F24:F24)),0)))&gt;0,IF(OR(F24="",F24=0),"",IF(ROUND(MIN($V$2*3,$B$36-SUM($J$6:$J23)-SUM($F24:F24)),0)&lt;0,0,ROUND(MIN($V$2*3,$B$36-SUM($J$6:$J23)-SUM($F24:F24)),0))),0)</f>
        <v/>
      </c>
      <c r="H24" s="6" t="str">
        <f>IF(IF(OR(G24="",G24=0),"",IF(ROUND(MIN($V$2*3,$B$36-SUM($J$6:$J23)-SUM($F24:G24)),0)&lt;0,0,ROUND(MIN($V$2*3,$B$36-SUM($J$6:$J23)-SUM($F24:G24)),0)))&gt;0,IF(OR(G24="",G24=0),"",IF(ROUND(MIN($V$2*3,$B$36-SUM($J$6:$J23)-SUM($F24:G24)),0)&lt;0,0,ROUND(MIN($V$2*3,$B$36-SUM($J$6:$J23)-SUM($F24:G24)),0))),0)</f>
        <v/>
      </c>
      <c r="I24" s="6" t="str">
        <f>IF(IF(OR(H24="",H24=0),"",IF(ROUND(MIN($V$2*3,$B$36-SUM($J$6:$J23)-SUM($F24:H24)),0)&lt;0,0,ROUND(MIN($V$2*3,$B$36-SUM($J$6:$J23)-SUM($F24:H24)),0)))&gt;0,IF(OR(H24="",H24=0),"",IF(ROUND(MIN($V$2*3,$B$36-SUM($J$6:$J23)-SUM($F24:H24)),0)&lt;0,0,ROUND(MIN($V$2*3,$B$36-SUM($J$6:$J23)-SUM($F24:H24)),0))),0)</f>
        <v/>
      </c>
      <c r="J24" s="7" t="str">
        <f t="shared" si="1"/>
        <v/>
      </c>
      <c r="L24" s="18">
        <v>22</v>
      </c>
      <c r="M24" s="19">
        <v>4</v>
      </c>
      <c r="N24" s="19">
        <v>22</v>
      </c>
      <c r="O24" s="20">
        <v>3</v>
      </c>
      <c r="R24" s="5">
        <v>22</v>
      </c>
      <c r="S24" s="21" t="e">
        <f t="shared" si="0"/>
        <v>#VALUE!</v>
      </c>
      <c r="U24" s="31"/>
      <c r="W24" s="137" t="s">
        <v>10</v>
      </c>
      <c r="X24" s="137"/>
      <c r="Y24" s="137"/>
      <c r="Z24" s="137"/>
    </row>
    <row r="25" spans="1:34" x14ac:dyDescent="0.25">
      <c r="A25" s="73" t="s">
        <v>25</v>
      </c>
      <c r="B25" s="80"/>
      <c r="C25" s="74"/>
      <c r="E25" s="5" t="str">
        <f t="shared" si="2"/>
        <v/>
      </c>
      <c r="F25" s="6" t="str">
        <f>IF(IF(OR(I24="",I24=0),"",IF(ROUND(MIN($V$2*3,$B$36-SUM($J$6:$J24)),0)&lt;0,0,ROUND(MIN($V$2*3,$B$36-SUM($J$6:$J24)),0)))&gt;0,IF(OR(I24="",I24=0),"",IF(ROUND(MIN($V$2*3,$B$36-SUM($J$6:$J24)),0)&lt;0,0,ROUND(MIN($V$2*3,$B$36-SUM($J$6:$J24)),0))),0)</f>
        <v/>
      </c>
      <c r="G25" s="6" t="str">
        <f>IF(IF(OR(F25="",F25=0),"",IF(ROUND(MIN($V$2*3,$B$36-SUM($J$6:$J24)-SUM($F25:F25)),0)&lt;0,0,ROUND(MIN($V$2*3,$B$36-SUM($J$6:$J24)-SUM($F25:F25)),0)))&gt;0,IF(OR(F25="",F25=0),"",IF(ROUND(MIN($V$2*3,$B$36-SUM($J$6:$J24)-SUM($F25:F25)),0)&lt;0,0,ROUND(MIN($V$2*3,$B$36-SUM($J$6:$J24)-SUM($F25:F25)),0))),0)</f>
        <v/>
      </c>
      <c r="H25" s="6" t="str">
        <f>IF(IF(OR(G25="",G25=0),"",IF(ROUND(MIN($V$2*3,$B$36-SUM($J$6:$J24)-SUM($F25:G25)),0)&lt;0,0,ROUND(MIN($V$2*3,$B$36-SUM($J$6:$J24)-SUM($F25:G25)),0)))&gt;0,IF(OR(G25="",G25=0),"",IF(ROUND(MIN($V$2*3,$B$36-SUM($J$6:$J24)-SUM($F25:G25)),0)&lt;0,0,ROUND(MIN($V$2*3,$B$36-SUM($J$6:$J24)-SUM($F25:G25)),0))),0)</f>
        <v/>
      </c>
      <c r="I25" s="6" t="str">
        <f>IF(IF(OR(H25="",H25=0),"",IF(ROUND(MIN($V$2*3,$B$36-SUM($J$6:$J24)-SUM($F25:H25)),0)&lt;0,0,ROUND(MIN($V$2*3,$B$36-SUM($J$6:$J24)-SUM($F25:H25)),0)))&gt;0,IF(OR(H25="",H25=0),"",IF(ROUND(MIN($V$2*3,$B$36-SUM($J$6:$J24)-SUM($F25:H25)),0)&lt;0,0,ROUND(MIN($V$2*3,$B$36-SUM($J$6:$J24)-SUM($F25:H25)),0))),0)</f>
        <v/>
      </c>
      <c r="J25" s="7" t="str">
        <f t="shared" si="1"/>
        <v/>
      </c>
      <c r="L25" s="18">
        <v>23</v>
      </c>
      <c r="M25" s="19">
        <v>4</v>
      </c>
      <c r="N25" s="19">
        <v>23</v>
      </c>
      <c r="O25" s="20">
        <v>2</v>
      </c>
      <c r="R25" s="5">
        <v>23</v>
      </c>
      <c r="S25" s="21" t="e">
        <f t="shared" si="0"/>
        <v>#VALUE!</v>
      </c>
      <c r="U25" s="138" t="s">
        <v>2</v>
      </c>
      <c r="V25" s="32"/>
      <c r="W25" s="33">
        <v>2</v>
      </c>
      <c r="X25" s="33">
        <v>5</v>
      </c>
      <c r="Y25" s="33">
        <v>8</v>
      </c>
      <c r="Z25" s="34">
        <v>11</v>
      </c>
    </row>
    <row r="26" spans="1:34" ht="13.8" thickBot="1" x14ac:dyDescent="0.3">
      <c r="A26" s="73" t="s">
        <v>31</v>
      </c>
      <c r="B26" s="81"/>
      <c r="C26" s="74"/>
      <c r="E26" s="5" t="str">
        <f t="shared" si="2"/>
        <v/>
      </c>
      <c r="F26" s="6" t="str">
        <f>IF(IF(OR(I25="",I25=0),"",IF(ROUND(MIN($V$2*3,$B$36-SUM($J$6:$J25)),0)&lt;0,0,ROUND(MIN($V$2*3,$B$36-SUM($J$6:$J25)),0)))&gt;0,IF(OR(I25="",I25=0),"",IF(ROUND(MIN($V$2*3,$B$36-SUM($J$6:$J25)),0)&lt;0,0,ROUND(MIN($V$2*3,$B$36-SUM($J$6:$J25)),0))),0)</f>
        <v/>
      </c>
      <c r="G26" s="6" t="str">
        <f>IF(IF(OR(F26="",F26=0),"",IF(ROUND(MIN($V$2*3,$B$36-SUM($J$6:$J25)-SUM($F26:F26)),0)&lt;0,0,ROUND(MIN($V$2*3,$B$36-SUM($J$6:$J25)-SUM($F26:F26)),0)))&gt;0,IF(OR(F26="",F26=0),"",IF(ROUND(MIN($V$2*3,$B$36-SUM($J$6:$J25)-SUM($F26:F26)),0)&lt;0,0,ROUND(MIN($V$2*3,$B$36-SUM($J$6:$J25)-SUM($F26:F26)),0))),0)</f>
        <v/>
      </c>
      <c r="H26" s="6" t="str">
        <f>IF(IF(OR(G26="",G26=0),"",IF(ROUND(MIN($V$2*3,$B$36-SUM($J$6:$J25)-SUM($F26:G26)),0)&lt;0,0,ROUND(MIN($V$2*3,$B$36-SUM($J$6:$J25)-SUM($F26:G26)),0)))&gt;0,IF(OR(G26="",G26=0),"",IF(ROUND(MIN($V$2*3,$B$36-SUM($J$6:$J25)-SUM($F26:G26)),0)&lt;0,0,ROUND(MIN($V$2*3,$B$36-SUM($J$6:$J25)-SUM($F26:G26)),0))),0)</f>
        <v/>
      </c>
      <c r="I26" s="6" t="str">
        <f>IF(IF(OR(H26="",H26=0),"",IF(ROUND(MIN($V$2*3,$B$36-SUM($J$6:$J25)-SUM($F26:H26)),0)&lt;0,0,ROUND(MIN($V$2*3,$B$36-SUM($J$6:$J25)-SUM($F26:H26)),0)))&gt;0,IF(OR(H26="",H26=0),"",IF(ROUND(MIN($V$2*3,$B$36-SUM($J$6:$J25)-SUM($F26:H26)),0)&lt;0,0,ROUND(MIN($V$2*3,$B$36-SUM($J$6:$J25)-SUM($F26:H26)),0))),0)</f>
        <v/>
      </c>
      <c r="J26" s="7" t="str">
        <f t="shared" si="1"/>
        <v/>
      </c>
      <c r="L26" s="46">
        <v>24</v>
      </c>
      <c r="M26" s="47">
        <v>4</v>
      </c>
      <c r="N26" s="47">
        <v>24</v>
      </c>
      <c r="O26" s="48">
        <v>1</v>
      </c>
      <c r="R26" s="5">
        <v>24</v>
      </c>
      <c r="S26" s="21" t="e">
        <f t="shared" si="0"/>
        <v>#VALUE!</v>
      </c>
      <c r="U26" s="138"/>
      <c r="V26" s="5" t="e">
        <f>TEXT(MONTH(DATE(2013,MONTH(B13)+1,1)),0)</f>
        <v>#VALUE!</v>
      </c>
      <c r="W26" s="35">
        <f>IF(INDEX($F$6:$I$35,MATCH($B$45,$E$6:$E$35,0),1)="",0,INDEX($F$6:$I$35,MATCH($B$45,$E$6:$E$35,0),1))</f>
        <v>0</v>
      </c>
      <c r="X26" s="35">
        <f>IF(INDEX($F$6:$I$35,MATCH($B$45,$E$6:$E$35,0),1)="",0,INDEX($F$6:$I$35,MATCH($B$45,$E$6:$E$35,0),1))+IF(INDEX($F$6:$I$35,MATCH($B$45,$E$6:$E$35,0),2)="",0,INDEX($F$6:$I$35,MATCH($B$45,$E$6:$E$35,0),2))</f>
        <v>0</v>
      </c>
      <c r="Y26" s="126">
        <f>IF(INDEX($F$6:$I$35,MATCH($B$45,$E$6:$E$35,0),1)="",0,INDEX($F$6:$I$35,MATCH($B$45,$E$6:$E$35,0),1))+IF(INDEX($F$6:$I$35,MATCH($B$45,$E$6:$E$35,0),2)="",0,INDEX($F$6:$I$35,MATCH($B$45,$E$6:$E$35,0),2))+IF(INDEX($F$6:$I$35,MATCH($B$45,$E$6:$E$35,0),3)="",0,INDEX($F$6:$I$35,MATCH($B$45,$E$6:$E$35,0),3))</f>
        <v>0</v>
      </c>
      <c r="Z26" s="36">
        <f>IF(INDEX($F$6:$I$35,MATCH($B$45,$E$6:$E$35,0),1)="",0,INDEX($F$6:$I$35,MATCH($B$45,$E$6:$E$35,0),1))+IF(INDEX($F$6:$I$35,MATCH($B$45,$E$6:$E$35,0),2)="",0,INDEX($F$6:$I$35,MATCH($B$45,$E$6:$E$35,0),2))+IF(INDEX($F$6:$I$35,MATCH($B$45,$E$6:$E$35,0),3)="",0,INDEX($F$6:$I$35,MATCH($B$45,$E$6:$E$35,0),3))+IF(INDEX($F$6:$I$35,MATCH($B$45,$E$6:$E$35,0),4)="",0,INDEX($F$6:$I$35,MATCH($B$45,$E$6:$E$35,0),4))</f>
        <v>0</v>
      </c>
    </row>
    <row r="27" spans="1:34" ht="13.8" thickBot="1" x14ac:dyDescent="0.3">
      <c r="A27" s="73" t="s">
        <v>33</v>
      </c>
      <c r="B27" s="82">
        <f>SUM(B25:B26)</f>
        <v>0</v>
      </c>
      <c r="C27" s="74"/>
      <c r="E27" s="5" t="str">
        <f t="shared" si="2"/>
        <v/>
      </c>
      <c r="F27" s="6" t="str">
        <f>IF(IF(OR(I26="",I26=0),"",IF(ROUND(MIN($V$2*3,$B$36-SUM($J$6:$J26)),0)&lt;0,0,ROUND(MIN($V$2*3,$B$36-SUM($J$6:$J26)),0)))&gt;0,IF(OR(I26="",I26=0),"",IF(ROUND(MIN($V$2*3,$B$36-SUM($J$6:$J26)),0)&lt;0,0,ROUND(MIN($V$2*3,$B$36-SUM($J$6:$J26)),0))),0)</f>
        <v/>
      </c>
      <c r="G27" s="6" t="str">
        <f>IF(IF(OR(F27="",F27=0),"",IF(ROUND(MIN($V$2*3,$B$36-SUM($J$6:$J26)-SUM($F27:F27)),0)&lt;0,0,ROUND(MIN($V$2*3,$B$36-SUM($J$6:$J26)-SUM($F27:F27)),0)))&gt;0,IF(OR(F27="",F27=0),"",IF(ROUND(MIN($V$2*3,$B$36-SUM($J$6:$J26)-SUM($F27:F27)),0)&lt;0,0,ROUND(MIN($V$2*3,$B$36-SUM($J$6:$J26)-SUM($F27:F27)),0))),0)</f>
        <v/>
      </c>
      <c r="H27" s="6" t="str">
        <f>IF(IF(OR(G27="",G27=0),"",IF(ROUND(MIN($V$2*3,$B$36-SUM($J$6:$J26)-SUM($F27:G27)),0)&lt;0,0,ROUND(MIN($V$2*3,$B$36-SUM($J$6:$J26)-SUM($F27:G27)),0)))&gt;0,IF(OR(G27="",G27=0),"",IF(ROUND(MIN($V$2*3,$B$36-SUM($J$6:$J26)-SUM($F27:G27)),0)&lt;0,0,ROUND(MIN($V$2*3,$B$36-SUM($J$6:$J26)-SUM($F27:G27)),0))),0)</f>
        <v/>
      </c>
      <c r="I27" s="6" t="str">
        <f>IF(IF(OR(H27="",H27=0),"",IF(ROUND(MIN($V$2*3,$B$36-SUM($J$6:$J26)-SUM($F27:H27)),0)&lt;0,0,ROUND(MIN($V$2*3,$B$36-SUM($J$6:$J26)-SUM($F27:H27)),0)))&gt;0,IF(OR(H27="",H27=0),"",IF(ROUND(MIN($V$2*3,$B$36-SUM($J$6:$J26)-SUM($F27:H27)),0)&lt;0,0,ROUND(MIN($V$2*3,$B$36-SUM($J$6:$J26)-SUM($F27:H27)),0))),0)</f>
        <v/>
      </c>
      <c r="J27" s="7" t="str">
        <f t="shared" si="1"/>
        <v/>
      </c>
      <c r="R27" s="5">
        <v>25</v>
      </c>
      <c r="S27" s="21" t="e">
        <f t="shared" si="0"/>
        <v>#VALUE!</v>
      </c>
      <c r="U27" s="138"/>
      <c r="V27" s="5" t="e">
        <f>TEXT(MONTH(DATE(2013,MONTH(B13)+4,1)),0)</f>
        <v>#VALUE!</v>
      </c>
      <c r="W27" s="35">
        <f>IF(INDEX($F$6:$I$35,MATCH($B$45,$E$6:$E$35,0),2)="",0,INDEX($F$6:$I$35,MATCH($B$45,$E$6:$E$35,0),2))</f>
        <v>0</v>
      </c>
      <c r="X27" s="35">
        <f>IF(INDEX($F$6:$I$35,MATCH($B$45,$E$6:$E$35,0),2)="",0,INDEX($F$6:$I$35,MATCH($B$45,$E$6:$E$35,0),2))+IF(INDEX($F$6:$I$35,MATCH($B$45,$E$6:$E$35,0),3)="",0,INDEX($F$6:$I$35,MATCH($B$45,$E$6:$E$35,0),3))</f>
        <v>0</v>
      </c>
      <c r="Y27" s="35">
        <f>IF(INDEX($F$6:$I$35,MATCH($B$45,$E$6:$E$35,0),2)="",0,INDEX($F$6:$I$35,MATCH($B$45,$E$6:$E$35,0),2))+IF(INDEX($F$6:$I$35,MATCH($B$45,$E$6:$E$35,0),3)="",0,INDEX($F$6:$I$35,MATCH($B$45,$E$6:$E$35,0),3))+IF(INDEX($F$6:$I$35,MATCH($B$45,$E$6:$E$35,0),4)="",0,INDEX($F$6:$I$35,MATCH($B$45,$E$6:$E$35,0),4))</f>
        <v>0</v>
      </c>
      <c r="Z27" s="37" t="s">
        <v>8</v>
      </c>
    </row>
    <row r="28" spans="1:34" x14ac:dyDescent="0.25">
      <c r="A28" s="73"/>
      <c r="B28" s="58"/>
      <c r="C28" s="74"/>
      <c r="E28" s="5" t="str">
        <f t="shared" si="2"/>
        <v/>
      </c>
      <c r="F28" s="6" t="str">
        <f>IF(IF(OR(I27="",I27=0),"",IF(ROUND(MIN($V$2*3,$B$36-SUM($J$6:$J27)),0)&lt;0,0,ROUND(MIN($V$2*3,$B$36-SUM($J$6:$J27)),0)))&gt;0,IF(OR(I27="",I27=0),"",IF(ROUND(MIN($V$2*3,$B$36-SUM($J$6:$J27)),0)&lt;0,0,ROUND(MIN($V$2*3,$B$36-SUM($J$6:$J27)),0))),0)</f>
        <v/>
      </c>
      <c r="G28" s="6" t="str">
        <f>IF(IF(OR(F28="",F28=0),"",IF(ROUND(MIN($V$2*3,$B$36-SUM($J$6:$J27)-SUM($F28:F28)),0)&lt;0,0,ROUND(MIN($V$2*3,$B$36-SUM($J$6:$J27)-SUM($F28:F28)),0)))&gt;0,IF(OR(F28="",F28=0),"",IF(ROUND(MIN($V$2*3,$B$36-SUM($J$6:$J27)-SUM($F28:F28)),0)&lt;0,0,ROUND(MIN($V$2*3,$B$36-SUM($J$6:$J27)-SUM($F28:F28)),0))),0)</f>
        <v/>
      </c>
      <c r="H28" s="6" t="str">
        <f>IF(IF(OR(G28="",G28=0),"",IF(ROUND(MIN($V$2*3,$B$36-SUM($J$6:$J27)-SUM($F28:G28)),0)&lt;0,0,ROUND(MIN($V$2*3,$B$36-SUM($J$6:$J27)-SUM($F28:G28)),0)))&gt;0,IF(OR(G28="",G28=0),"",IF(ROUND(MIN($V$2*3,$B$36-SUM($J$6:$J27)-SUM($F28:G28)),0)&lt;0,0,ROUND(MIN($V$2*3,$B$36-SUM($J$6:$J27)-SUM($F28:G28)),0))),0)</f>
        <v/>
      </c>
      <c r="I28" s="6" t="str">
        <f>IF(IF(OR(H28="",H28=0),"",IF(ROUND(MIN($V$2*3,$B$36-SUM($J$6:$J27)-SUM($F28:H28)),0)&lt;0,0,ROUND(MIN($V$2*3,$B$36-SUM($J$6:$J27)-SUM($F28:H28)),0)))&gt;0,IF(OR(H28="",H28=0),"",IF(ROUND(MIN($V$2*3,$B$36-SUM($J$6:$J27)-SUM($F28:H28)),0)&lt;0,0,ROUND(MIN($V$2*3,$B$36-SUM($J$6:$J27)-SUM($F28:H28)),0))),0)</f>
        <v/>
      </c>
      <c r="J28" s="7" t="str">
        <f t="shared" si="1"/>
        <v/>
      </c>
      <c r="L28" s="16" t="s">
        <v>2</v>
      </c>
      <c r="M28" s="49">
        <v>1</v>
      </c>
      <c r="N28" s="49">
        <v>2</v>
      </c>
      <c r="O28" s="49">
        <v>3</v>
      </c>
      <c r="P28" s="26">
        <v>4</v>
      </c>
      <c r="Q28" s="50"/>
      <c r="R28" s="5">
        <v>26</v>
      </c>
      <c r="S28" s="21" t="e">
        <f t="shared" si="0"/>
        <v>#VALUE!</v>
      </c>
      <c r="U28" s="138"/>
      <c r="V28" s="5" t="e">
        <f>TEXT(MONTH(DATE(2013,MONTH(B13)+7,1)),0)</f>
        <v>#VALUE!</v>
      </c>
      <c r="W28" s="35">
        <f>IF(INDEX($F$6:$I$35,MATCH($B$45,$E$6:$E$35,0),3)="",0,INDEX($F$6:$I$35,MATCH($B$45,$E$6:$E$35,0),3))</f>
        <v>0</v>
      </c>
      <c r="X28" s="35">
        <f>IF(INDEX($F$6:$I$35,MATCH($B$45,$E$6:$E$35,0),3)="",0,INDEX($F$6:$I$35,MATCH($B$45,$E$6:$E$35,0),3))+IF(INDEX($F$6:$I$35,MATCH($B$45,$E$6:$E$35,0),4)="",0,INDEX($F$6:$I$35,MATCH($B$45,$E$6:$E$35,0),4))</f>
        <v>0</v>
      </c>
      <c r="Y28" s="38" t="s">
        <v>8</v>
      </c>
      <c r="Z28" s="37" t="s">
        <v>8</v>
      </c>
    </row>
    <row r="29" spans="1:34" ht="12" customHeight="1" thickBot="1" x14ac:dyDescent="0.3">
      <c r="A29" s="73" t="s">
        <v>32</v>
      </c>
      <c r="B29" s="80"/>
      <c r="C29" s="74"/>
      <c r="E29" s="5" t="str">
        <f t="shared" si="2"/>
        <v/>
      </c>
      <c r="F29" s="6" t="str">
        <f>IF(IF(OR(I28="",I28=0),"",IF(ROUND(MIN($V$2*3,$B$36-SUM($J$6:$J28)),0)&lt;0,0,ROUND(MIN($V$2*3,$B$36-SUM($J$6:$J28)),0)))&gt;0,IF(OR(I28="",I28=0),"",IF(ROUND(MIN($V$2*3,$B$36-SUM($J$6:$J28)),0)&lt;0,0,ROUND(MIN($V$2*3,$B$36-SUM($J$6:$J28)),0))),0)</f>
        <v/>
      </c>
      <c r="G29" s="6" t="str">
        <f>IF(IF(OR(F29="",F29=0),"",IF(ROUND(MIN($V$2*3,$B$36-SUM($J$6:$J28)-SUM($F29:F29)),0)&lt;0,0,ROUND(MIN($V$2*3,$B$36-SUM($J$6:$J28)-SUM($F29:F29)),0)))&gt;0,IF(OR(F29="",F29=0),"",IF(ROUND(MIN($V$2*3,$B$36-SUM($J$6:$J28)-SUM($F29:F29)),0)&lt;0,0,ROUND(MIN($V$2*3,$B$36-SUM($J$6:$J28)-SUM($F29:F29)),0))),0)</f>
        <v/>
      </c>
      <c r="H29" s="6" t="str">
        <f>IF(IF(OR(G29="",G29=0),"",IF(ROUND(MIN($V$2*3,$B$36-SUM($J$6:$J28)-SUM($F29:G29)),0)&lt;0,0,ROUND(MIN($V$2*3,$B$36-SUM($J$6:$J28)-SUM($F29:G29)),0)))&gt;0,IF(OR(G29="",G29=0),"",IF(ROUND(MIN($V$2*3,$B$36-SUM($J$6:$J28)-SUM($F29:G29)),0)&lt;0,0,ROUND(MIN($V$2*3,$B$36-SUM($J$6:$J28)-SUM($F29:G29)),0))),0)</f>
        <v/>
      </c>
      <c r="I29" s="6" t="str">
        <f>IF(IF(OR(H29="",H29=0),"",IF(ROUND(MIN($V$2*3,$B$36-SUM($J$6:$J28)-SUM($F29:H29)),0)&lt;0,0,ROUND(MIN($V$2*3,$B$36-SUM($J$6:$J28)-SUM($F29:H29)),0)))&gt;0,IF(OR(H29="",H29=0),"",IF(ROUND(MIN($V$2*3,$B$36-SUM($J$6:$J28)-SUM($F29:H29)),0)&lt;0,0,ROUND(MIN($V$2*3,$B$36-SUM($J$6:$J28)-SUM($F29:H29)),0))),0)</f>
        <v/>
      </c>
      <c r="J29" s="7" t="str">
        <f t="shared" si="1"/>
        <v/>
      </c>
      <c r="L29" s="24" t="s">
        <v>5</v>
      </c>
      <c r="M29" s="51" t="e">
        <f>IF($V$8&lt;&gt;M28,"",LOOKUP($V$7,$N$3:$N$26,$O$3:$O$26))</f>
        <v>#VALUE!</v>
      </c>
      <c r="N29" s="51" t="e">
        <f>IF($V$8&lt;&gt;N28,"",LOOKUP($V$7,$N$3:$N$26,$O$3:$O$26))</f>
        <v>#VALUE!</v>
      </c>
      <c r="O29" s="51" t="e">
        <f>IF($V$8&lt;&gt;O28,"",LOOKUP($V$7,$N$3:$N$26,$O$3:$O$26))</f>
        <v>#VALUE!</v>
      </c>
      <c r="P29" s="52" t="e">
        <f>IF($V$8&lt;&gt;P28,"",LOOKUP($V$7,$N$3:$N$26,$O$3:$O$26))</f>
        <v>#VALUE!</v>
      </c>
      <c r="Q29" s="27"/>
      <c r="R29" s="5">
        <v>27</v>
      </c>
      <c r="S29" s="21" t="e">
        <f t="shared" si="0"/>
        <v>#VALUE!</v>
      </c>
      <c r="U29" s="138"/>
      <c r="V29" s="10" t="e">
        <f>TEXT(MONTH(DATE(2013,MONTH(B13)+10,1)),0)</f>
        <v>#VALUE!</v>
      </c>
      <c r="W29" s="39">
        <f>IF(INDEX($F$6:$I$35,MATCH($B$45,$E$6:$E$35,0),4)="",0,INDEX($F$6:$I$35,MATCH($B$45,$E$6:$E$35,0),4))</f>
        <v>0</v>
      </c>
      <c r="X29" s="40" t="s">
        <v>8</v>
      </c>
      <c r="Y29" s="40" t="s">
        <v>8</v>
      </c>
      <c r="Z29" s="41" t="s">
        <v>8</v>
      </c>
    </row>
    <row r="30" spans="1:34" ht="12" customHeight="1" thickBot="1" x14ac:dyDescent="0.3">
      <c r="A30" s="73" t="s">
        <v>18</v>
      </c>
      <c r="B30" s="79"/>
      <c r="C30" s="74"/>
      <c r="E30" s="5" t="str">
        <f t="shared" si="2"/>
        <v/>
      </c>
      <c r="F30" s="6" t="str">
        <f>IF(IF(OR(I29="",I29=0),"",IF(ROUND(MIN($V$2*3,$B$36-SUM($J$6:$J29)),0)&lt;0,0,ROUND(MIN($V$2*3,$B$36-SUM($J$6:$J29)),0)))&gt;0,IF(OR(I29="",I29=0),"",IF(ROUND(MIN($V$2*3,$B$36-SUM($J$6:$J29)),0)&lt;0,0,ROUND(MIN($V$2*3,$B$36-SUM($J$6:$J29)),0))),0)</f>
        <v/>
      </c>
      <c r="G30" s="6" t="str">
        <f>IF(IF(OR(F30="",F30=0),"",IF(ROUND(MIN($V$2*3,$B$36-SUM($J$6:$J29)-SUM($F30:F30)),0)&lt;0,0,ROUND(MIN($V$2*3,$B$36-SUM($J$6:$J29)-SUM($F30:F30)),0)))&gt;0,IF(OR(F30="",F30=0),"",IF(ROUND(MIN($V$2*3,$B$36-SUM($J$6:$J29)-SUM($F30:F30)),0)&lt;0,0,ROUND(MIN($V$2*3,$B$36-SUM($J$6:$J29)-SUM($F30:F30)),0))),0)</f>
        <v/>
      </c>
      <c r="H30" s="6" t="str">
        <f>IF(IF(OR(G30="",G30=0),"",IF(ROUND(MIN($V$2*3,$B$36-SUM($J$6:$J29)-SUM($F30:G30)),0)&lt;0,0,ROUND(MIN($V$2*3,$B$36-SUM($J$6:$J29)-SUM($F30:G30)),0)))&gt;0,IF(OR(G30="",G30=0),"",IF(ROUND(MIN($V$2*3,$B$36-SUM($J$6:$J29)-SUM($F30:G30)),0)&lt;0,0,ROUND(MIN($V$2*3,$B$36-SUM($J$6:$J29)-SUM($F30:G30)),0))),0)</f>
        <v/>
      </c>
      <c r="I30" s="6" t="str">
        <f>IF(IF(OR(H30="",H30=0),"",IF(ROUND(MIN($V$2*3,$B$36-SUM($J$6:$J29)-SUM($F30:H30)),0)&lt;0,0,ROUND(MIN($V$2*3,$B$36-SUM($J$6:$J29)-SUM($F30:H30)),0)))&gt;0,IF(OR(H30="",H30=0),"",IF(ROUND(MIN($V$2*3,$B$36-SUM($J$6:$J29)-SUM($F30:H30)),0)&lt;0,0,ROUND(MIN($V$2*3,$B$36-SUM($J$6:$J29)-SUM($F30:H30)),0))),0)</f>
        <v/>
      </c>
      <c r="J30" s="7" t="str">
        <f t="shared" si="1"/>
        <v/>
      </c>
      <c r="R30" s="5">
        <v>28</v>
      </c>
      <c r="S30" s="21" t="e">
        <f t="shared" si="0"/>
        <v>#VALUE!</v>
      </c>
    </row>
    <row r="31" spans="1:34" x14ac:dyDescent="0.25">
      <c r="A31" s="73"/>
      <c r="B31" s="58"/>
      <c r="C31" s="74"/>
      <c r="E31" s="5" t="str">
        <f t="shared" si="2"/>
        <v/>
      </c>
      <c r="F31" s="6" t="str">
        <f>IF(IF(OR(I30="",I30=0),"",IF(ROUND(MIN($V$2*3,$B$36-SUM($J$6:$J30)),0)&lt;0,0,ROUND(MIN($V$2*3,$B$36-SUM($J$6:$J30)),0)))&gt;0,IF(OR(I30="",I30=0),"",IF(ROUND(MIN($V$2*3,$B$36-SUM($J$6:$J30)),0)&lt;0,0,ROUND(MIN($V$2*3,$B$36-SUM($J$6:$J30)),0))),0)</f>
        <v/>
      </c>
      <c r="G31" s="6" t="str">
        <f>IF(IF(OR(F31="",F31=0),"",IF(ROUND(MIN($V$2*3,$B$36-SUM($J$6:$J30)-SUM($F31:F31)),0)&lt;0,0,ROUND(MIN($V$2*3,$B$36-SUM($J$6:$J30)-SUM($F31:F31)),0)))&gt;0,IF(OR(F31="",F31=0),"",IF(ROUND(MIN($V$2*3,$B$36-SUM($J$6:$J30)-SUM($F31:F31)),0)&lt;0,0,ROUND(MIN($V$2*3,$B$36-SUM($J$6:$J30)-SUM($F31:F31)),0))),0)</f>
        <v/>
      </c>
      <c r="H31" s="6" t="str">
        <f>IF(IF(OR(G31="",G31=0),"",IF(ROUND(MIN($V$2*3,$B$36-SUM($J$6:$J30)-SUM($F31:G31)),0)&lt;0,0,ROUND(MIN($V$2*3,$B$36-SUM($J$6:$J30)-SUM($F31:G31)),0)))&gt;0,IF(OR(G31="",G31=0),"",IF(ROUND(MIN($V$2*3,$B$36-SUM($J$6:$J30)-SUM($F31:G31)),0)&lt;0,0,ROUND(MIN($V$2*3,$B$36-SUM($J$6:$J30)-SUM($F31:G31)),0))),0)</f>
        <v/>
      </c>
      <c r="I31" s="6" t="str">
        <f>IF(IF(OR(H31="",H31=0),"",IF(ROUND(MIN($V$2*3,$B$36-SUM($J$6:$J30)-SUM($F31:H31)),0)&lt;0,0,ROUND(MIN($V$2*3,$B$36-SUM($J$6:$J30)-SUM($F31:H31)),0)))&gt;0,IF(OR(H31="",H31=0),"",IF(ROUND(MIN($V$2*3,$B$36-SUM($J$6:$J30)-SUM($F31:H31)),0)&lt;0,0,ROUND(MIN($V$2*3,$B$36-SUM($J$6:$J30)-SUM($F31:H31)),0))),0)</f>
        <v/>
      </c>
      <c r="J31" s="7" t="str">
        <f t="shared" si="1"/>
        <v/>
      </c>
      <c r="R31" s="5">
        <v>29</v>
      </c>
      <c r="S31" s="21" t="e">
        <f t="shared" si="0"/>
        <v>#VALUE!</v>
      </c>
      <c r="V31" s="32"/>
      <c r="W31" s="42">
        <v>41305</v>
      </c>
      <c r="X31" s="42">
        <v>41333</v>
      </c>
      <c r="Y31" s="42">
        <v>41364</v>
      </c>
      <c r="Z31" s="42">
        <v>41394</v>
      </c>
      <c r="AA31" s="42">
        <v>41425</v>
      </c>
      <c r="AB31" s="42">
        <v>41455</v>
      </c>
      <c r="AC31" s="42">
        <v>41486</v>
      </c>
      <c r="AD31" s="42">
        <v>41517</v>
      </c>
      <c r="AE31" s="42">
        <v>41547</v>
      </c>
      <c r="AF31" s="42">
        <v>41578</v>
      </c>
      <c r="AG31" s="42">
        <v>41608</v>
      </c>
      <c r="AH31" s="43">
        <v>41639</v>
      </c>
    </row>
    <row r="32" spans="1:34" x14ac:dyDescent="0.25">
      <c r="A32" s="105" t="s">
        <v>91</v>
      </c>
      <c r="B32" s="81"/>
      <c r="C32" s="74"/>
      <c r="E32" s="5" t="str">
        <f t="shared" si="2"/>
        <v/>
      </c>
      <c r="F32" s="6" t="str">
        <f>IF(IF(OR(I31="",I31=0),"",IF(ROUND(MIN($V$2*3,$B$36-SUM($J$6:$J31)),0)&lt;0,0,ROUND(MIN($V$2*3,$B$36-SUM($J$6:$J31)),0)))&gt;0,IF(OR(I31="",I31=0),"",IF(ROUND(MIN($V$2*3,$B$36-SUM($J$6:$J31)),0)&lt;0,0,ROUND(MIN($V$2*3,$B$36-SUM($J$6:$J31)),0))),0)</f>
        <v/>
      </c>
      <c r="G32" s="6" t="str">
        <f>IF(IF(OR(F32="",F32=0),"",IF(ROUND(MIN($V$2*3,$B$36-SUM($J$6:$J31)-SUM($F32:F32)),0)&lt;0,0,ROUND(MIN($V$2*3,$B$36-SUM($J$6:$J31)-SUM($F32:F32)),0)))&gt;0,IF(OR(F32="",F32=0),"",IF(ROUND(MIN($V$2*3,$B$36-SUM($J$6:$J31)-SUM($F32:F32)),0)&lt;0,0,ROUND(MIN($V$2*3,$B$36-SUM($J$6:$J31)-SUM($F32:F32)),0))),0)</f>
        <v/>
      </c>
      <c r="H32" s="6" t="str">
        <f>IF(IF(OR(G32="",G32=0),"",IF(ROUND(MIN($V$2*3,$B$36-SUM($J$6:$J31)-SUM($F32:G32)),0)&lt;0,0,ROUND(MIN($V$2*3,$B$36-SUM($J$6:$J31)-SUM($F32:G32)),0)))&gt;0,IF(OR(G32="",G32=0),"",IF(ROUND(MIN($V$2*3,$B$36-SUM($J$6:$J31)-SUM($F32:G32)),0)&lt;0,0,ROUND(MIN($V$2*3,$B$36-SUM($J$6:$J31)-SUM($F32:G32)),0))),0)</f>
        <v/>
      </c>
      <c r="I32" s="6" t="str">
        <f>IF(IF(OR(H32="",H32=0),"",IF(ROUND(MIN($V$2*3,$B$36-SUM($J$6:$J31)-SUM($F32:H32)),0)&lt;0,0,ROUND(MIN($V$2*3,$B$36-SUM($J$6:$J31)-SUM($F32:H32)),0)))&gt;0,IF(OR(H32="",H32=0),"",IF(ROUND(MIN($V$2*3,$B$36-SUM($J$6:$J31)-SUM($F32:H32)),0)&lt;0,0,ROUND(MIN($V$2*3,$B$36-SUM($J$6:$J31)-SUM($F32:H32)),0))),0)</f>
        <v/>
      </c>
      <c r="J32" s="7" t="str">
        <f t="shared" si="1"/>
        <v/>
      </c>
      <c r="R32" s="5">
        <v>30</v>
      </c>
      <c r="S32" s="21" t="e">
        <f t="shared" si="0"/>
        <v>#VALUE!</v>
      </c>
      <c r="V32" s="44">
        <v>1</v>
      </c>
      <c r="W32" s="38">
        <v>1</v>
      </c>
      <c r="X32" s="38">
        <v>1</v>
      </c>
      <c r="Y32" s="38">
        <v>1</v>
      </c>
      <c r="Z32" s="38">
        <v>1</v>
      </c>
      <c r="AA32" s="38">
        <v>1</v>
      </c>
      <c r="AB32" s="38">
        <v>1</v>
      </c>
      <c r="AC32" s="38">
        <v>1</v>
      </c>
      <c r="AD32" s="38">
        <v>1</v>
      </c>
      <c r="AE32" s="38">
        <v>1</v>
      </c>
      <c r="AF32" s="38">
        <v>1</v>
      </c>
      <c r="AG32" s="38">
        <v>1</v>
      </c>
      <c r="AH32" s="37">
        <v>1</v>
      </c>
    </row>
    <row r="33" spans="1:34" ht="13.8" thickBot="1" x14ac:dyDescent="0.3">
      <c r="A33" s="73" t="s">
        <v>19</v>
      </c>
      <c r="B33" s="109">
        <f>'HP Equipment 1'!B33</f>
        <v>0</v>
      </c>
      <c r="C33" s="74"/>
      <c r="E33" s="5" t="str">
        <f t="shared" si="2"/>
        <v/>
      </c>
      <c r="F33" s="6" t="str">
        <f>IF(IF(OR(I32="",I32=0),"",IF(ROUND(MIN($V$2*3,$B$36-SUM($J$6:$J32)),0)&lt;0,0,ROUND(MIN($V$2*3,$B$36-SUM($J$6:$J32)),0)))&gt;0,IF(OR(I32="",I32=0),"",IF(ROUND(MIN($V$2*3,$B$36-SUM($J$6:$J32)),0)&lt;0,0,ROUND(MIN($V$2*3,$B$36-SUM($J$6:$J32)),0))),0)</f>
        <v/>
      </c>
      <c r="G33" s="6" t="str">
        <f>IF(IF(OR(F33="",F33=0),"",IF(ROUND(MIN($V$2*3,$B$36-SUM($J$6:$J32)-SUM($F33:F33)),0)&lt;0,0,ROUND(MIN($V$2*3,$B$36-SUM($J$6:$J32)-SUM($F33:F33)),0)))&gt;0,IF(OR(F33="",F33=0),"",IF(ROUND(MIN($V$2*3,$B$36-SUM($J$6:$J32)-SUM($F33:F33)),0)&lt;0,0,ROUND(MIN($V$2*3,$B$36-SUM($J$6:$J32)-SUM($F33:F33)),0))),0)</f>
        <v/>
      </c>
      <c r="H33" s="6" t="str">
        <f>IF(IF(OR(G33="",G33=0),"",IF(ROUND(MIN($V$2*3,$B$36-SUM($J$6:$J32)-SUM($F33:G33)),0)&lt;0,0,ROUND(MIN($V$2*3,$B$36-SUM($J$6:$J32)-SUM($F33:G33)),0)))&gt;0,IF(OR(G33="",G33=0),"",IF(ROUND(MIN($V$2*3,$B$36-SUM($J$6:$J32)-SUM($F33:G33)),0)&lt;0,0,ROUND(MIN($V$2*3,$B$36-SUM($J$6:$J32)-SUM($F33:G33)),0))),0)</f>
        <v/>
      </c>
      <c r="I33" s="6" t="str">
        <f>IF(IF(OR(H33="",H33=0),"",IF(ROUND(MIN($V$2*3,$B$36-SUM($J$6:$J32)-SUM($F33:H33)),0)&lt;0,0,ROUND(MIN($V$2*3,$B$36-SUM($J$6:$J32)-SUM($F33:H33)),0)))&gt;0,IF(OR(H33="",H33=0),"",IF(ROUND(MIN($V$2*3,$B$36-SUM($J$6:$J32)-SUM($F33:H33)),0)&lt;0,0,ROUND(MIN($V$2*3,$B$36-SUM($J$6:$J32)-SUM($F33:H33)),0))),0)</f>
        <v/>
      </c>
      <c r="J33" s="7" t="str">
        <f t="shared" si="1"/>
        <v/>
      </c>
      <c r="R33" s="46">
        <v>31</v>
      </c>
      <c r="S33" s="48" t="e">
        <f t="shared" si="0"/>
        <v>#VALUE!</v>
      </c>
      <c r="V33" s="44">
        <v>2</v>
      </c>
      <c r="W33" s="38">
        <v>2</v>
      </c>
      <c r="X33" s="38">
        <v>1</v>
      </c>
      <c r="Y33" s="38">
        <v>1</v>
      </c>
      <c r="Z33" s="38">
        <v>1</v>
      </c>
      <c r="AA33" s="38">
        <v>1</v>
      </c>
      <c r="AB33" s="38">
        <v>1</v>
      </c>
      <c r="AC33" s="38">
        <v>1</v>
      </c>
      <c r="AD33" s="38">
        <v>1</v>
      </c>
      <c r="AE33" s="38">
        <v>1</v>
      </c>
      <c r="AF33" s="38">
        <v>1</v>
      </c>
      <c r="AG33" s="38">
        <v>1</v>
      </c>
      <c r="AH33" s="37">
        <v>1</v>
      </c>
    </row>
    <row r="34" spans="1:34" ht="13.8" thickBot="1" x14ac:dyDescent="0.3">
      <c r="A34" s="73" t="s">
        <v>37</v>
      </c>
      <c r="B34" s="83">
        <f>'HP Equipment 1'!B35+'HP Equipment 2'!B36</f>
        <v>0</v>
      </c>
      <c r="C34" s="74"/>
      <c r="E34" s="5" t="str">
        <f t="shared" si="2"/>
        <v/>
      </c>
      <c r="F34" s="6" t="str">
        <f>IF(IF(OR(I33="",I33=0),"",IF(ROUND(MIN($V$2*3,$B$36-SUM($J$6:$J33)),0)&lt;0,0,ROUND(MIN($V$2*3,$B$36-SUM($J$6:$J33)),0)))&gt;0,IF(OR(I33="",I33=0),"",IF(ROUND(MIN($V$2*3,$B$36-SUM($J$6:$J33)),0)&lt;0,0,ROUND(MIN($V$2*3,$B$36-SUM($J$6:$J33)),0))),0)</f>
        <v/>
      </c>
      <c r="G34" s="6" t="str">
        <f>IF(IF(OR(F34="",F34=0),"",IF(ROUND(MIN($V$2*3,$B$36-SUM($J$6:$J33)-SUM($F34:F34)),0)&lt;0,0,ROUND(MIN($V$2*3,$B$36-SUM($J$6:$J33)-SUM($F34:F34)),0)))&gt;0,IF(OR(F34="",F34=0),"",IF(ROUND(MIN($V$2*3,$B$36-SUM($J$6:$J33)-SUM($F34:F34)),0)&lt;0,0,ROUND(MIN($V$2*3,$B$36-SUM($J$6:$J33)-SUM($F34:F34)),0))),0)</f>
        <v/>
      </c>
      <c r="H34" s="6" t="str">
        <f>IF(IF(OR(G34="",G34=0),"",IF(ROUND(MIN($V$2*3,$B$36-SUM($J$6:$J33)-SUM($F34:G34)),0)&lt;0,0,ROUND(MIN($V$2*3,$B$36-SUM($J$6:$J33)-SUM($F34:G34)),0)))&gt;0,IF(OR(G34="",G34=0),"",IF(ROUND(MIN($V$2*3,$B$36-SUM($J$6:$J33)-SUM($F34:G34)),0)&lt;0,0,ROUND(MIN($V$2*3,$B$36-SUM($J$6:$J33)-SUM($F34:G34)),0))),0)</f>
        <v/>
      </c>
      <c r="I34" s="6" t="str">
        <f>IF(IF(OR(H34="",H34=0),"",IF(ROUND(MIN($V$2*3,$B$36-SUM($J$6:$J33)-SUM($F34:H34)),0)&lt;0,0,ROUND(MIN($V$2*3,$B$36-SUM($J$6:$J33)-SUM($F34:H34)),0)))&gt;0,IF(OR(H34="",H34=0),"",IF(ROUND(MIN($V$2*3,$B$36-SUM($J$6:$J33)-SUM($F34:H34)),0)&lt;0,0,ROUND(MIN($V$2*3,$B$36-SUM($J$6:$J33)-SUM($F34:H34)),0))),0)</f>
        <v/>
      </c>
      <c r="J34" s="7" t="str">
        <f t="shared" si="1"/>
        <v/>
      </c>
      <c r="V34" s="44">
        <v>3</v>
      </c>
      <c r="W34" s="38">
        <v>2</v>
      </c>
      <c r="X34" s="38">
        <v>2</v>
      </c>
      <c r="Y34" s="38">
        <v>1</v>
      </c>
      <c r="Z34" s="38">
        <v>1</v>
      </c>
      <c r="AA34" s="38">
        <v>1</v>
      </c>
      <c r="AB34" s="38">
        <v>1</v>
      </c>
      <c r="AC34" s="38">
        <v>1</v>
      </c>
      <c r="AD34" s="38">
        <v>1</v>
      </c>
      <c r="AE34" s="38">
        <v>1</v>
      </c>
      <c r="AF34" s="38">
        <v>1</v>
      </c>
      <c r="AG34" s="38">
        <v>1</v>
      </c>
      <c r="AH34" s="37">
        <v>1</v>
      </c>
    </row>
    <row r="35" spans="1:34" x14ac:dyDescent="0.25">
      <c r="C35" s="74"/>
      <c r="E35" s="5" t="str">
        <f t="shared" si="2"/>
        <v/>
      </c>
      <c r="F35" s="6" t="str">
        <f>IF(IF(OR(I34="",I34=0),"",IF(ROUND(MIN($V$2*3,$B$36-SUM($J$6:$J34)),0)&lt;0,0,ROUND(MIN($V$2*3,$B$36-SUM($J$6:$J34)),0)))&gt;0,IF(OR(I34="",I34=0),"",IF(ROUND(MIN($V$2*3,$B$36-SUM($J$6:$J34)),0)&lt;0,0,ROUND(MIN($V$2*3,$B$36-SUM($J$6:$J34)),0))),0)</f>
        <v/>
      </c>
      <c r="G35" s="6" t="str">
        <f>IF(IF(OR(F35="",F35=0),"",IF(ROUND(MIN($V$2*3,$B$36-SUM($J$6:$J34)-SUM($F35:F35)),0)&lt;0,0,ROUND(MIN($V$2*3,$B$36-SUM($J$6:$J34)-SUM($F35:F35)),0)))&gt;0,IF(OR(F35="",F35=0),"",IF(ROUND(MIN($V$2*3,$B$36-SUM($J$6:$J34)-SUM($F35:F35)),0)&lt;0,0,ROUND(MIN($V$2*3,$B$36-SUM($J$6:$J34)-SUM($F35:F35)),0))),0)</f>
        <v/>
      </c>
      <c r="H35" s="6" t="str">
        <f>IF(IF(OR(G35="",G35=0),"",IF(ROUND(MIN($V$2*3,$B$36-SUM($J$6:$J34)-SUM($F35:G35)),0)&lt;0,0,ROUND(MIN($V$2*3,$B$36-SUM($J$6:$J34)-SUM($F35:G35)),0)))&gt;0,IF(OR(G35="",G35=0),"",IF(ROUND(MIN($V$2*3,$B$36-SUM($J$6:$J34)-SUM($F35:G35)),0)&lt;0,0,ROUND(MIN($V$2*3,$B$36-SUM($J$6:$J34)-SUM($F35:G35)),0))),0)</f>
        <v/>
      </c>
      <c r="I35" s="6" t="str">
        <f>IF(IF(OR(H35="",H35=0),"",IF(ROUND(MIN($V$2*3,$B$36-SUM($J$6:$J34)-SUM($F35:H35)),0)&lt;0,0,ROUND(MIN($V$2*3,$B$36-SUM($J$6:$J34)-SUM($F35:H35)),0)))&gt;0,IF(OR(H35="",H35=0),"",IF(ROUND(MIN($V$2*3,$B$36-SUM($J$6:$J34)-SUM($F35:H35)),0)&lt;0,0,ROUND(MIN($V$2*3,$B$36-SUM($J$6:$J34)-SUM($F35:H35)),0))),0)</f>
        <v/>
      </c>
      <c r="J35" s="9" t="str">
        <f t="shared" si="1"/>
        <v/>
      </c>
      <c r="R35" s="100" t="s">
        <v>11</v>
      </c>
      <c r="V35" s="44">
        <v>4</v>
      </c>
      <c r="W35" s="38">
        <v>2</v>
      </c>
      <c r="X35" s="38">
        <v>2</v>
      </c>
      <c r="Y35" s="38">
        <v>2</v>
      </c>
      <c r="Z35" s="38">
        <v>1</v>
      </c>
      <c r="AA35" s="38">
        <v>1</v>
      </c>
      <c r="AB35" s="38">
        <v>1</v>
      </c>
      <c r="AC35" s="38">
        <v>1</v>
      </c>
      <c r="AD35" s="38">
        <v>1</v>
      </c>
      <c r="AE35" s="38">
        <v>1</v>
      </c>
      <c r="AF35" s="38">
        <v>1</v>
      </c>
      <c r="AG35" s="38">
        <v>1</v>
      </c>
      <c r="AH35" s="37">
        <v>1</v>
      </c>
    </row>
    <row r="36" spans="1:34" ht="13.8" thickBot="1" x14ac:dyDescent="0.3">
      <c r="A36" s="73" t="s">
        <v>43</v>
      </c>
      <c r="B36" s="108">
        <f>IF(MIN(IF(B14="Y",B25-B32,B27-B32),100000-B33-B34)&lt;0,0,MIN(IF(B14="Y",B25-B32,B27-B32),100000-B33-B34))</f>
        <v>0</v>
      </c>
      <c r="C36" s="74"/>
      <c r="E36" s="10" t="str">
        <f t="shared" si="2"/>
        <v/>
      </c>
      <c r="F36" s="125" t="str">
        <f>IF(IF(OR(I35="",I35=0),"",IF(ROUND(MIN($V$2*3,$B$36-SUM($J$6:$J35)),0)&lt;0,0,ROUND(MIN($V$2*3,$B$36-SUM($J$6:$J35)),0)))&gt;0,IF(OR(I35="",I35=0),"",IF(ROUND(MIN($V$2*3,$B$36-SUM($J$6:$J35)),0)&lt;0,0,ROUND(MIN($V$2*3,$B$36-SUM($J$6:$J35)),0))),0)</f>
        <v/>
      </c>
      <c r="G36" s="125" t="str">
        <f>IF(IF(OR(F36="",F36=0),"",IF(ROUND(MIN($V$2*3,$B$36-SUM($J$6:$J35)-SUM($F36:F36)),0)&lt;0,0,ROUND(MIN($V$2*3,$B$36-SUM($J$6:$J35)-SUM($F36:F36)),0)))&gt;0,IF(OR(F36="",F36=0),"",IF(ROUND(MIN($V$2*3,$B$36-SUM($J$6:$J35)-SUM($F36:F36)),0)&lt;0,0,ROUND(MIN($V$2*3,$B$36-SUM($J$6:$J35)-SUM($F36:F36)),0))),0)</f>
        <v/>
      </c>
      <c r="H36" s="125" t="str">
        <f>IF(IF(OR(G36="",G36=0),"",IF(ROUND(MIN($V$2*3,$B$36-SUM($J$6:$J35)-SUM($F36:G36)),0)&lt;0,0,ROUND(MIN($V$2*3,$B$36-SUM($J$6:$J35)-SUM($F36:G36)),0)))&gt;0,IF(OR(G36="",G36=0),"",IF(ROUND(MIN($V$2*3,$B$36-SUM($J$6:$J35)-SUM($F36:G36)),0)&lt;0,0,ROUND(MIN($V$2*3,$B$36-SUM($J$6:$J35)-SUM($F36:G36)),0))),0)</f>
        <v/>
      </c>
      <c r="I36" s="125" t="str">
        <f>IF(IF(OR(H36="",H36=0),"",IF(ROUND(MIN($V$2*3,$B$36-SUM($J$6:$J35)-SUM($F36:H36)),0)&lt;0,0,ROUND(MIN($V$2*3,$B$36-SUM($J$6:$J35)-SUM($F36:H36)),0)))&gt;0,IF(OR(H36="",H36=0),"",IF(ROUND(MIN($V$2*3,$B$36-SUM($J$6:$J35)-SUM($F36:H36)),0)&lt;0,0,ROUND(MIN($V$2*3,$B$36-SUM($J$6:$J35)-SUM($F36:H36)),0))),0)</f>
        <v/>
      </c>
      <c r="J36" s="11" t="str">
        <f t="shared" si="1"/>
        <v/>
      </c>
      <c r="R36" s="101">
        <v>41305</v>
      </c>
      <c r="U36" s="45"/>
      <c r="V36" s="44">
        <v>5</v>
      </c>
      <c r="W36" s="38">
        <v>2</v>
      </c>
      <c r="X36" s="38">
        <v>2</v>
      </c>
      <c r="Y36" s="38">
        <v>2</v>
      </c>
      <c r="Z36" s="38">
        <v>2</v>
      </c>
      <c r="AA36" s="38">
        <v>1</v>
      </c>
      <c r="AB36" s="38">
        <v>1</v>
      </c>
      <c r="AC36" s="38">
        <v>1</v>
      </c>
      <c r="AD36" s="38">
        <v>1</v>
      </c>
      <c r="AE36" s="38">
        <v>1</v>
      </c>
      <c r="AF36" s="38">
        <v>1</v>
      </c>
      <c r="AG36" s="38">
        <v>1</v>
      </c>
      <c r="AH36" s="37">
        <v>1</v>
      </c>
    </row>
    <row r="37" spans="1:34" ht="13.8" thickBot="1" x14ac:dyDescent="0.3">
      <c r="A37" s="73"/>
      <c r="B37" s="58"/>
      <c r="C37" s="74"/>
      <c r="E37" s="12"/>
      <c r="F37" s="13"/>
      <c r="G37" s="13"/>
      <c r="H37" s="13"/>
      <c r="I37" s="14" t="s">
        <v>1</v>
      </c>
      <c r="J37" s="15">
        <f>SUM(J6:J35)</f>
        <v>0</v>
      </c>
      <c r="R37" s="101">
        <v>41333</v>
      </c>
      <c r="V37" s="44">
        <v>6</v>
      </c>
      <c r="W37" s="38">
        <v>2</v>
      </c>
      <c r="X37" s="38">
        <v>2</v>
      </c>
      <c r="Y37" s="38">
        <v>2</v>
      </c>
      <c r="Z37" s="38">
        <v>2</v>
      </c>
      <c r="AA37" s="38">
        <v>2</v>
      </c>
      <c r="AB37" s="38">
        <v>1</v>
      </c>
      <c r="AC37" s="38">
        <v>1</v>
      </c>
      <c r="AD37" s="38">
        <v>1</v>
      </c>
      <c r="AE37" s="38">
        <v>1</v>
      </c>
      <c r="AF37" s="38">
        <v>1</v>
      </c>
      <c r="AG37" s="38">
        <v>1</v>
      </c>
      <c r="AH37" s="37">
        <v>1</v>
      </c>
    </row>
    <row r="38" spans="1:34" ht="13.8" thickBot="1" x14ac:dyDescent="0.3">
      <c r="A38" s="70" t="s">
        <v>23</v>
      </c>
      <c r="B38" s="95"/>
      <c r="C38" s="72"/>
      <c r="E38" s="111" t="s">
        <v>66</v>
      </c>
      <c r="R38" s="101">
        <v>41364</v>
      </c>
      <c r="V38" s="44">
        <v>7</v>
      </c>
      <c r="W38" s="38">
        <v>2</v>
      </c>
      <c r="X38" s="38">
        <v>2</v>
      </c>
      <c r="Y38" s="38">
        <v>2</v>
      </c>
      <c r="Z38" s="38">
        <v>2</v>
      </c>
      <c r="AA38" s="38">
        <v>2</v>
      </c>
      <c r="AB38" s="38">
        <v>2</v>
      </c>
      <c r="AC38" s="38">
        <v>1</v>
      </c>
      <c r="AD38" s="38">
        <v>1</v>
      </c>
      <c r="AE38" s="38">
        <v>1</v>
      </c>
      <c r="AF38" s="38">
        <v>1</v>
      </c>
      <c r="AG38" s="38">
        <v>1</v>
      </c>
      <c r="AH38" s="37">
        <v>1</v>
      </c>
    </row>
    <row r="39" spans="1:34" ht="12" customHeight="1" x14ac:dyDescent="0.25">
      <c r="A39" s="84"/>
      <c r="B39" s="58"/>
      <c r="C39" s="74"/>
      <c r="E39" s="63"/>
      <c r="F39" s="57"/>
      <c r="G39" s="57"/>
      <c r="H39" s="57"/>
      <c r="I39" s="57"/>
      <c r="J39" s="57"/>
      <c r="R39" s="101">
        <v>41394</v>
      </c>
      <c r="V39" s="44">
        <v>8</v>
      </c>
      <c r="W39" s="38">
        <v>2</v>
      </c>
      <c r="X39" s="38">
        <v>2</v>
      </c>
      <c r="Y39" s="38">
        <v>2</v>
      </c>
      <c r="Z39" s="38">
        <v>2</v>
      </c>
      <c r="AA39" s="38">
        <v>2</v>
      </c>
      <c r="AB39" s="38">
        <v>2</v>
      </c>
      <c r="AC39" s="38">
        <v>2</v>
      </c>
      <c r="AD39" s="38">
        <v>1</v>
      </c>
      <c r="AE39" s="38">
        <v>1</v>
      </c>
      <c r="AF39" s="38">
        <v>1</v>
      </c>
      <c r="AG39" s="38">
        <v>1</v>
      </c>
      <c r="AH39" s="37">
        <v>1</v>
      </c>
    </row>
    <row r="40" spans="1:34" ht="12" customHeight="1" x14ac:dyDescent="0.25">
      <c r="A40" s="73" t="s">
        <v>42</v>
      </c>
      <c r="B40" s="58"/>
      <c r="C40" s="74"/>
      <c r="E40" s="57"/>
      <c r="F40" s="57"/>
      <c r="G40" s="57"/>
      <c r="H40" s="57"/>
      <c r="I40" s="57"/>
      <c r="J40" s="57"/>
      <c r="R40" s="101">
        <v>41425</v>
      </c>
      <c r="V40" s="44">
        <v>9</v>
      </c>
      <c r="W40" s="38">
        <v>2</v>
      </c>
      <c r="X40" s="38">
        <v>2</v>
      </c>
      <c r="Y40" s="38">
        <v>2</v>
      </c>
      <c r="Z40" s="38">
        <v>2</v>
      </c>
      <c r="AA40" s="38">
        <v>2</v>
      </c>
      <c r="AB40" s="38">
        <v>2</v>
      </c>
      <c r="AC40" s="38">
        <v>2</v>
      </c>
      <c r="AD40" s="38">
        <v>2</v>
      </c>
      <c r="AE40" s="38">
        <v>1</v>
      </c>
      <c r="AF40" s="38">
        <v>1</v>
      </c>
      <c r="AG40" s="38">
        <v>1</v>
      </c>
      <c r="AH40" s="37">
        <v>1</v>
      </c>
    </row>
    <row r="41" spans="1:34" ht="12" customHeight="1" x14ac:dyDescent="0.25">
      <c r="A41" s="88"/>
      <c r="B41" s="58"/>
      <c r="C41" s="74"/>
      <c r="E41" s="160"/>
      <c r="F41" s="59"/>
      <c r="G41" s="61"/>
      <c r="H41" s="58"/>
      <c r="I41" s="160"/>
      <c r="J41" s="27"/>
      <c r="R41" s="101">
        <v>41455</v>
      </c>
      <c r="V41" s="44">
        <v>10</v>
      </c>
      <c r="W41" s="38">
        <v>2</v>
      </c>
      <c r="X41" s="38">
        <v>2</v>
      </c>
      <c r="Y41" s="38">
        <v>2</v>
      </c>
      <c r="Z41" s="38">
        <v>2</v>
      </c>
      <c r="AA41" s="38">
        <v>2</v>
      </c>
      <c r="AB41" s="38">
        <v>2</v>
      </c>
      <c r="AC41" s="38">
        <v>2</v>
      </c>
      <c r="AD41" s="38">
        <v>2</v>
      </c>
      <c r="AE41" s="38">
        <v>2</v>
      </c>
      <c r="AF41" s="38">
        <v>1</v>
      </c>
      <c r="AG41" s="38">
        <v>1</v>
      </c>
      <c r="AH41" s="37">
        <v>1</v>
      </c>
    </row>
    <row r="42" spans="1:34" ht="12" customHeight="1" x14ac:dyDescent="0.25">
      <c r="A42" s="73" t="s">
        <v>21</v>
      </c>
      <c r="B42" s="85">
        <f>'HP Equipment 1'!B42</f>
        <v>0</v>
      </c>
      <c r="C42" s="74"/>
      <c r="E42" s="160"/>
      <c r="F42" s="58"/>
      <c r="G42" s="62"/>
      <c r="H42" s="58"/>
      <c r="I42" s="160"/>
      <c r="J42" s="62"/>
      <c r="R42" s="101">
        <v>41486</v>
      </c>
      <c r="V42" s="44">
        <v>11</v>
      </c>
      <c r="W42" s="38">
        <v>2</v>
      </c>
      <c r="X42" s="38">
        <v>2</v>
      </c>
      <c r="Y42" s="38">
        <v>2</v>
      </c>
      <c r="Z42" s="38">
        <v>2</v>
      </c>
      <c r="AA42" s="38">
        <v>2</v>
      </c>
      <c r="AB42" s="38">
        <v>2</v>
      </c>
      <c r="AC42" s="38">
        <v>2</v>
      </c>
      <c r="AD42" s="38">
        <v>2</v>
      </c>
      <c r="AE42" s="38">
        <v>2</v>
      </c>
      <c r="AF42" s="38">
        <v>2</v>
      </c>
      <c r="AG42" s="38">
        <v>1</v>
      </c>
      <c r="AH42" s="37">
        <v>1</v>
      </c>
    </row>
    <row r="43" spans="1:34" ht="12" customHeight="1" thickBot="1" x14ac:dyDescent="0.3">
      <c r="A43" s="73" t="s">
        <v>22</v>
      </c>
      <c r="B43" s="85">
        <f>'HP Equipment 1'!B43</f>
        <v>0</v>
      </c>
      <c r="C43" s="74"/>
      <c r="E43" s="60"/>
      <c r="F43" s="58"/>
      <c r="G43" s="58"/>
      <c r="H43" s="58"/>
      <c r="I43" s="58"/>
      <c r="J43" s="58"/>
      <c r="R43" s="101">
        <v>41517</v>
      </c>
      <c r="V43" s="53">
        <v>12</v>
      </c>
      <c r="W43" s="40">
        <v>2</v>
      </c>
      <c r="X43" s="40">
        <v>2</v>
      </c>
      <c r="Y43" s="40">
        <v>2</v>
      </c>
      <c r="Z43" s="40">
        <v>2</v>
      </c>
      <c r="AA43" s="40">
        <v>2</v>
      </c>
      <c r="AB43" s="40">
        <v>2</v>
      </c>
      <c r="AC43" s="40">
        <v>2</v>
      </c>
      <c r="AD43" s="40">
        <v>2</v>
      </c>
      <c r="AE43" s="40">
        <v>2</v>
      </c>
      <c r="AF43" s="40">
        <v>2</v>
      </c>
      <c r="AG43" s="40">
        <v>2</v>
      </c>
      <c r="AH43" s="41">
        <v>1</v>
      </c>
    </row>
    <row r="44" spans="1:34" ht="12" customHeight="1" x14ac:dyDescent="0.25">
      <c r="A44" s="73"/>
      <c r="B44" s="85"/>
      <c r="C44" s="74"/>
      <c r="E44" s="159"/>
      <c r="F44" s="159"/>
      <c r="G44" s="159"/>
      <c r="H44" s="159"/>
      <c r="I44" s="159"/>
      <c r="J44" s="159"/>
      <c r="R44" s="101">
        <v>41547</v>
      </c>
    </row>
    <row r="45" spans="1:34" ht="12" customHeight="1" x14ac:dyDescent="0.25">
      <c r="A45" s="86" t="s">
        <v>34</v>
      </c>
      <c r="B45" s="87" t="str">
        <f>'HP Equipment 1'!B45</f>
        <v/>
      </c>
      <c r="C45" s="74"/>
      <c r="E45" s="159"/>
      <c r="F45" s="159"/>
      <c r="G45" s="159"/>
      <c r="H45" s="159"/>
      <c r="I45" s="159"/>
      <c r="J45" s="159"/>
      <c r="R45" s="101">
        <v>41578</v>
      </c>
    </row>
    <row r="46" spans="1:34" ht="12" customHeight="1" thickBot="1" x14ac:dyDescent="0.3">
      <c r="A46" s="88"/>
      <c r="B46" s="87"/>
      <c r="C46" s="74"/>
      <c r="E46" s="159"/>
      <c r="F46" s="159"/>
      <c r="G46" s="159"/>
      <c r="H46" s="159"/>
      <c r="I46" s="159"/>
      <c r="J46" s="159"/>
      <c r="R46" s="101">
        <v>41608</v>
      </c>
    </row>
    <row r="47" spans="1:34" ht="12" customHeight="1" thickBot="1" x14ac:dyDescent="0.3">
      <c r="A47" s="88" t="s">
        <v>35</v>
      </c>
      <c r="B47" s="89" t="str">
        <f>IF(ISERROR(INDEX(W26:Z29,MATCH(TEXT(MONTH(B42),0),V26:V29,0),MATCH((YEAR(B43)-YEAR(B42))*12+MONTH(B43)-MONTH(B42),W25:Z25,0))),"Please enter the correct relevant period",INDEX(W26:Z29,MATCH(TEXT(MONTH(B42),0),V26:V29,0),MATCH((YEAR(B43)-YEAR(B42))*12+MONTH(B43)-MONTH(B42),W25:Z25,0)))</f>
        <v>Please enter the correct relevant period</v>
      </c>
      <c r="C47" s="74"/>
      <c r="E47" s="159"/>
      <c r="F47" s="159"/>
      <c r="G47" s="159"/>
      <c r="H47" s="159"/>
      <c r="I47" s="159"/>
      <c r="J47" s="159"/>
      <c r="R47" s="102">
        <v>41639</v>
      </c>
    </row>
    <row r="48" spans="1:34" ht="12" customHeight="1" x14ac:dyDescent="0.25">
      <c r="A48" s="73"/>
      <c r="B48" s="58" t="s">
        <v>24</v>
      </c>
      <c r="C48" s="74"/>
      <c r="R48" s="56"/>
    </row>
    <row r="49" spans="1:18" ht="12" customHeight="1" thickBot="1" x14ac:dyDescent="0.3">
      <c r="A49" s="90"/>
      <c r="B49" s="98"/>
      <c r="C49" s="91"/>
    </row>
    <row r="51" spans="1:18" x14ac:dyDescent="0.25">
      <c r="R51" s="56"/>
    </row>
  </sheetData>
  <sheetProtection algorithmName="SHA-512" hashValue="u1NvoUiC5/0UJ8TAITpTiv88OOhKkC95tOJp6sGK7vxXSFfAEzIgzyU0LKKJSUN7h5aSK5LNilX3ZX8HmFlUhg==" saltValue="1Pbm55qrqWhTTlzVJxT18Q==" spinCount="100000" sheet="1" objects="1" scenarios="1" selectLockedCells="1"/>
  <mergeCells count="14">
    <mergeCell ref="E41:E42"/>
    <mergeCell ref="I41:I42"/>
    <mergeCell ref="E44:J47"/>
    <mergeCell ref="L2:M2"/>
    <mergeCell ref="N2:O2"/>
    <mergeCell ref="R2:S2"/>
    <mergeCell ref="A1:C2"/>
    <mergeCell ref="E1:J2"/>
    <mergeCell ref="W24:Z24"/>
    <mergeCell ref="U25:U29"/>
    <mergeCell ref="A3:C9"/>
    <mergeCell ref="E4:E5"/>
    <mergeCell ref="F4:I4"/>
    <mergeCell ref="J4:J5"/>
  </mergeCells>
  <dataValidations count="5">
    <dataValidation type="date" allowBlank="1" showInputMessage="1" showErrorMessage="1" errorTitle="Error" error="Please enter a valid date in the format dd/mm/yyyy." sqref="B18:B19" xr:uid="{00000000-0002-0000-0400-000000000000}">
      <formula1>40575</formula1>
      <formula2>43100</formula2>
    </dataValidation>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400-000001000000}"/>
    <dataValidation type="date" allowBlank="1" showInputMessage="1" showErrorMessage="1" errorTitle="Error" error="Please enter a valid date in the format dd/mm/yyyy." promptTitle="Note" prompt="Enter the relevant period as per your PIC Cash Payout application" sqref="B42:B44" xr:uid="{00000000-0002-0000-0400-000003000000}">
      <formula1>40575</formula1>
      <formula2>42369</formula2>
    </dataValidation>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400-000004000000}"/>
    <dataValidation allowBlank="1" showInputMessage="1" showErrorMessage="1" promptTitle="Note" prompt="Enter non-qualifying costs included in the cash purchase price (B8)." sqref="B32" xr:uid="{F63A52ED-B8B9-4CF5-A4FD-A31790545CAD}"/>
  </dataValidations>
  <pageMargins left="0.74803149606299213" right="0.74803149606299213" top="0.98425196850393704" bottom="0.98425196850393704" header="0.51181102362204722" footer="0.51181102362204722"/>
  <pageSetup paperSize="9" scale="93" orientation="portrait"/>
  <colBreaks count="1" manualBreakCount="1">
    <brk id="10" max="1048575"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H51"/>
  <sheetViews>
    <sheetView showGridLines="0" workbookViewId="0">
      <selection activeCell="B17" sqref="B17"/>
    </sheetView>
  </sheetViews>
  <sheetFormatPr defaultColWidth="10.8984375" defaultRowHeight="13.2" x14ac:dyDescent="0.25"/>
  <cols>
    <col min="1" max="1" width="42.59765625" style="1" customWidth="1"/>
    <col min="2" max="2" width="35.09765625" style="1" customWidth="1"/>
    <col min="3" max="4" width="5" style="1" customWidth="1"/>
    <col min="5" max="7" width="10.8984375" style="1"/>
    <col min="8" max="8" width="10.8984375" style="1" customWidth="1"/>
    <col min="9" max="9" width="10.8984375" style="1"/>
    <col min="10" max="10" width="23.8984375" style="1" customWidth="1"/>
    <col min="11" max="11" width="10.8984375" style="1" customWidth="1"/>
    <col min="12" max="20" width="10.8984375" style="1" hidden="1" customWidth="1"/>
    <col min="21" max="21" width="31.3984375" style="1" hidden="1" customWidth="1"/>
    <col min="22" max="34" width="10.8984375" style="1" hidden="1" customWidth="1"/>
    <col min="35" max="16384" width="10.8984375" style="1"/>
  </cols>
  <sheetData>
    <row r="1" spans="1:22" ht="18.75" customHeight="1" thickBot="1" x14ac:dyDescent="0.3">
      <c r="A1" s="139" t="s">
        <v>67</v>
      </c>
      <c r="B1" s="140"/>
      <c r="C1" s="141"/>
      <c r="D1" s="54"/>
      <c r="E1" s="139" t="s">
        <v>70</v>
      </c>
      <c r="F1" s="166"/>
      <c r="G1" s="166"/>
      <c r="H1" s="166"/>
      <c r="I1" s="166"/>
      <c r="J1" s="167"/>
    </row>
    <row r="2" spans="1:22" ht="43.5" customHeight="1" thickBot="1" x14ac:dyDescent="0.3">
      <c r="A2" s="142"/>
      <c r="B2" s="143"/>
      <c r="C2" s="144"/>
      <c r="D2" s="54"/>
      <c r="E2" s="168"/>
      <c r="F2" s="169"/>
      <c r="G2" s="169"/>
      <c r="H2" s="169"/>
      <c r="I2" s="169"/>
      <c r="J2" s="170"/>
      <c r="L2" s="145" t="s">
        <v>2</v>
      </c>
      <c r="M2" s="146"/>
      <c r="N2" s="146" t="s">
        <v>4</v>
      </c>
      <c r="O2" s="147"/>
      <c r="R2" s="148" t="s">
        <v>0</v>
      </c>
      <c r="S2" s="149"/>
      <c r="U2" s="16" t="s">
        <v>6</v>
      </c>
      <c r="V2" s="17" t="e">
        <f>IF(B14="Y",(B25-B32-MAX(B29-B26,0))/B20,(B27-B32-B29)/B20)</f>
        <v>#DIV/0!</v>
      </c>
    </row>
    <row r="3" spans="1:22" ht="15" customHeight="1" thickBot="1" x14ac:dyDescent="0.3">
      <c r="A3" s="171" t="s">
        <v>78</v>
      </c>
      <c r="B3" s="151"/>
      <c r="C3" s="152"/>
      <c r="E3" s="55" t="s">
        <v>54</v>
      </c>
      <c r="J3" s="8"/>
      <c r="L3" s="18">
        <v>1</v>
      </c>
      <c r="M3" s="19">
        <v>1</v>
      </c>
      <c r="N3" s="19">
        <v>1</v>
      </c>
      <c r="O3" s="20">
        <v>3</v>
      </c>
      <c r="R3" s="5">
        <v>1</v>
      </c>
      <c r="S3" s="21"/>
      <c r="U3" s="22" t="s">
        <v>16</v>
      </c>
      <c r="V3" s="23">
        <f>IF(B14="Y",B25-B32,B27-B32)</f>
        <v>0</v>
      </c>
    </row>
    <row r="4" spans="1:22" ht="15" customHeight="1" thickBot="1" x14ac:dyDescent="0.3">
      <c r="A4" s="153"/>
      <c r="B4" s="154"/>
      <c r="C4" s="155"/>
      <c r="E4" s="162" t="s">
        <v>0</v>
      </c>
      <c r="F4" s="161" t="s">
        <v>2</v>
      </c>
      <c r="G4" s="161"/>
      <c r="H4" s="161"/>
      <c r="I4" s="161"/>
      <c r="J4" s="164" t="s">
        <v>15</v>
      </c>
      <c r="L4" s="18">
        <v>2</v>
      </c>
      <c r="M4" s="19">
        <v>1</v>
      </c>
      <c r="N4" s="19">
        <v>2</v>
      </c>
      <c r="O4" s="20">
        <v>2</v>
      </c>
      <c r="R4" s="5">
        <v>2</v>
      </c>
      <c r="S4" s="21" t="e">
        <f t="shared" ref="S4:S33" si="0">$E$6+MIN(R3,$B$20/12)</f>
        <v>#VALUE!</v>
      </c>
      <c r="U4" s="24" t="s">
        <v>7</v>
      </c>
      <c r="V4" s="25">
        <f>IF(B14="Y",MAX(B29-B26,0),B29)</f>
        <v>0</v>
      </c>
    </row>
    <row r="5" spans="1:22" ht="15" customHeight="1" thickBot="1" x14ac:dyDescent="0.3">
      <c r="A5" s="153"/>
      <c r="B5" s="154"/>
      <c r="C5" s="155"/>
      <c r="E5" s="163"/>
      <c r="F5" s="99">
        <v>1</v>
      </c>
      <c r="G5" s="99">
        <v>2</v>
      </c>
      <c r="H5" s="99">
        <v>3</v>
      </c>
      <c r="I5" s="99">
        <v>4</v>
      </c>
      <c r="J5" s="165"/>
      <c r="L5" s="18">
        <v>3</v>
      </c>
      <c r="M5" s="19">
        <v>1</v>
      </c>
      <c r="N5" s="19">
        <v>3</v>
      </c>
      <c r="O5" s="20">
        <v>1</v>
      </c>
      <c r="R5" s="5">
        <v>3</v>
      </c>
      <c r="S5" s="21" t="e">
        <f t="shared" si="0"/>
        <v>#VALUE!</v>
      </c>
    </row>
    <row r="6" spans="1:22" ht="15" customHeight="1" thickBot="1" x14ac:dyDescent="0.3">
      <c r="A6" s="153"/>
      <c r="B6" s="154"/>
      <c r="C6" s="155"/>
      <c r="E6" s="2"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3" t="str">
        <f>IF(IF(ISERROR(ROUND(MIN(IF(AND($V$21=$E$6,$V$13=F5),$V$4,0)+IF(AND($V$17=$E$6,$V$8=F5),$V$2*M29,0),$B$36),0)),"",ROUND(MIN(IF(AND($V$21=$E$6,$V$13=F5),$V$4,0)+IF(AND($V$17=$E$6,$V$8=F5),$V$2*M29,0),$B$36),0))&gt;0,IF(ISERROR(ROUND(MIN(IF(AND($V$21=$E$6,$V$13=F5),$V$4,0)+IF(AND($V$17=$E$6,$V$8=F5),$V$2*M29,0),$B$36),0)),"",ROUND(MIN(IF(AND($V$21=$E$6,$V$13=F5),$V$4,0)+IF(AND($V$17=$E$6,$V$8=F5),$V$2*M29,0),$B$36),0)),0)</f>
        <v/>
      </c>
      <c r="G6" s="3" t="str">
        <f>IF(IF(ISERROR(ROUND(MIN(IF(AND($V$21=$E$6,$V$13=G5),$V$4,0)+IF(ISERROR(IF(AND($V$17=$E$6,$V$8=G5),$V$2*N29,0)),0,IF(AND($V$17=$E$6,$V$8=G5),$V$2*N29,0))+IF(AND($V$8&lt;G5,$V$17=$E$6),$V$2*3,0),$B$36-SUM($F$6:F6)),0)),"",ROUND(MIN(IF(AND($V$21=$E$6,$V$13=G5),$V$4,0)+IF(ISERROR(IF(AND($V$17=$E$6,$V$8=G5),$V$2*N29,0)),0,IF(AND($V$17=$E$6,$V$8=G5),$V$2*N29,0))+IF(AND($V$8&lt;G5,$V$17=$E$6),$V$2*3,0),$B$36-SUM($F$6:F6)),0))&gt;0,IF(ISERROR(ROUND(MIN(IF(AND($V$21=$E$6,$V$13=G5),$V$4,0)+IF(ISERROR(IF(AND($V$17=$E$6,$V$8=G5),$V$2*N29,0)),0,IF(AND($V$17=$E$6,$V$8=G5),$V$2*N29,0))+IF(AND($V$8&lt;G5,$V$17=$E$6),$V$2*3,0),$B$36-SUM($F$6:F6)),0)),"",ROUND(MIN(IF(AND($V$21=$E$6,$V$13=G5),$V$4,0)+IF(ISERROR(IF(AND($V$17=$E$6,$V$8=G5),$V$2*N29,0)),0,IF(AND($V$17=$E$6,$V$8=G5),$V$2*N29,0))+IF(AND($V$8&lt;G5,$V$17=$E$6),$V$2*3,0),$B$36-SUM($F$6:F6)),0)),0)</f>
        <v/>
      </c>
      <c r="H6" s="3" t="str">
        <f>IF(IF(ISERROR(ROUND(MIN(IF(AND($V$21=$E$6,$V$13=H5),$V$4,0)+IF(ISERROR(IF(AND($V$17=$E$6,$V$8=H5),$V$2*O29,0)),0,IF(AND($V$17=$E$6,$V$8=H5),$V$2*O29,0))+IF(AND($V$8&lt;H5,$V$17=$E$6),$V$2*3,0),$B$36-SUM($F$6:G6)),0)),"",ROUND(MIN(IF(AND($V$21=$E$6,$V$13=H5),$V$4,0)+IF(ISERROR(IF(AND($V$17=$E$6,$V$8=H5),$V$2*O29,0)),0,IF(AND($V$17=$E$6,$V$8=H5),$V$2*O29,0))+IF(AND($V$8&lt;H5,$V$17=$E$6),$V$2*3,0),$B$36-SUM($F$6:G6)),0))&gt;0,IF(ISERROR(ROUND(MIN(IF(AND($V$21=$E$6,$V$13=H5),$V$4,0)+IF(ISERROR(IF(AND($V$17=$E$6,$V$8=H5),$V$2*O29,0)),0,IF(AND($V$17=$E$6,$V$8=H5),$V$2*O29,0))+IF(AND($V$8&lt;H5,$V$17=$E$6),$V$2*3,0),$B$36-SUM($F$6:G6)),0)),"",ROUND(MIN(IF(AND($V$21=$E$6,$V$13=H5),$V$4,0)+IF(ISERROR(IF(AND($V$17=$E$6,$V$8=H5),$V$2*O29,0)),0,IF(AND($V$17=$E$6,$V$8=H5),$V$2*O29,0))+IF(AND($V$8&lt;H5,$V$17=$E$6),$V$2*3,0),$B$36-SUM($F$6:G6)),0)),0)</f>
        <v/>
      </c>
      <c r="I6" s="3" t="str">
        <f>IF(IF(ISERROR(ROUND(MIN(IF(AND($V$21=$E$6,$V$13=I5),$V$4,0)+IF(ISERROR(IF(AND($V$17=$E$6,$V$8=I5),$V$2*P29,0)),0,IF(AND($V$17=$E$6,$V$8=I5),$V$2*P29,0))+IF(AND($V$8&lt;I5,$V$17=$E$6),$V$2*3,0),$B$36-SUM($F$6:H6)),0)),"",ROUND(MIN(IF(AND($V$21=$E$6,$V$13=I5),$V$4,0)+IF(ISERROR(IF(AND($V$17=$E$6,$V$8=I5),$V$2*P29,0)),0,IF(AND($V$17=$E$6,$V$8=I5),$V$2*P29,0))+IF(AND($V$8&lt;I5,$V$17=$E$6),$V$2*3,0),$B$36-SUM($F$6:H6)),0))&gt;0,IF(ISERROR(ROUND(MIN(IF(AND($V$21=$E$6,$V$13=I5),$V$4,0)+IF(ISERROR(IF(AND($V$17=$E$6,$V$8=I5),$V$2*P29,0)),0,IF(AND($V$17=$E$6,$V$8=I5),$V$2*P29,0))+IF(AND($V$8&lt;I5,$V$17=$E$6),$V$2*3,0),$B$36-SUM($F$6:H6)),0)),"",ROUND(MIN(IF(AND($V$21=$E$6,$V$13=I5),$V$4,0)+IF(ISERROR(IF(AND($V$17=$E$6,$V$8=I5),$V$2*P29,0)),0,IF(AND($V$17=$E$6,$V$8=I5),$V$2*P29,0))+IF(AND($V$8&lt;I5,$V$17=$E$6),$V$2*3,0),$B$36-SUM($F$6:H6)),0)),0)</f>
        <v/>
      </c>
      <c r="J6" s="4">
        <f>SUM(F6:I6)</f>
        <v>0</v>
      </c>
      <c r="L6" s="18">
        <v>4</v>
      </c>
      <c r="M6" s="19">
        <v>2</v>
      </c>
      <c r="N6" s="19">
        <v>4</v>
      </c>
      <c r="O6" s="20">
        <v>3</v>
      </c>
      <c r="R6" s="5">
        <v>4</v>
      </c>
      <c r="S6" s="21" t="e">
        <f t="shared" si="0"/>
        <v>#VALUE!</v>
      </c>
      <c r="U6" s="1" t="s">
        <v>49</v>
      </c>
    </row>
    <row r="7" spans="1:22" ht="15" customHeight="1" x14ac:dyDescent="0.25">
      <c r="A7" s="153"/>
      <c r="B7" s="154"/>
      <c r="C7" s="155"/>
      <c r="E7" s="5" t="str">
        <f>IF(ISERROR(IF(AND(F7="",F7=0,G7="",G7=0,H7="",H7=0,I7="",I7=0),"",IF($V$17=$V$21,E6+1,IF($V$21&gt;$V$17,$V$17+1,$V$17)))),"",IF(AND(F7="",F7=0,G7="",G7=0,H7="",H7=0,I7="",I7=0),"",IF($V$17=$V$21,E6+1,IF($V$21&gt;$V$17,$V$17+1,$V$17))))</f>
        <v/>
      </c>
      <c r="F7" s="6" t="str">
        <f>IF(IF(ISERROR(IF(ROUND(MIN(IF($V$17&lt;&gt;$E$6,IF($V$8=F5,$V$2*M29,0),$V$2*3),$B$36-SUM($J$6:$J6)),0)&lt;0,0,ROUND(MIN(IF($V$17&lt;&gt;$E$6,IF($V$8=F5,$V$2*M29,0),$V$2*3),$B$36-SUM($J$6:$J6)),0))),"",IF(ROUND(MIN(IF($V$17&lt;&gt;$E$6,IF($V$8=F5,$V$2*M29,0),$V$2*3),$B$36-SUM($J$6:$J6)),0)&lt;0,0,ROUND(MIN(IF($V$17&lt;&gt;$E$6,IF($V$8=F5,$V$2*M29,0),$V$2*3),$B$36-SUM($J$6:$J6)),0)))&gt;0,IF(ISERROR(IF(ROUND(MIN(IF($V$17&lt;&gt;$E$6,IF($V$8=F5,$V$2*M29,0),$V$2*3),$B$36-SUM($J$6:$J6)),0)&lt;0,0,ROUND(MIN(IF($V$17&lt;&gt;$E$6,IF($V$8=F5,$V$2*M29,0),$V$2*3),$B$36-SUM($J$6:$J6)),0))),"",IF(ROUND(MIN(IF($V$17&lt;&gt;$E$6,IF($V$8=F5,$V$2*M29,0),$V$2*3),$B$36-SUM($J$6:$J6)),0)&lt;0,0,ROUND(MIN(IF($V$17&lt;&gt;$E$6,IF($V$8=F5,$V$2*M29,0),$V$2*3),$B$36-SUM($J$6:$J6)),0))),0)</f>
        <v/>
      </c>
      <c r="G7" s="6" t="str">
        <f>IF(IF(ISERROR(IF(ROUND(MIN(IF($V$17&lt;&gt;$E$6,IF($V$8=F5,$V$2*M29,0),$V$2*3),$B$36-SUM($J$6:$J6)),0)&lt;0,0,ROUND(MIN(IF($V$17&lt;&gt;$E$6,IF($V$8=G5,$V$2*N29,0)+IF($V$8&lt;G5,$V$2*3,0),$V$2*3),$B$36-SUM($J$6:$J6)-SUM($F$7:F7)),0))),"",IF(ROUND(MIN(IF($V$17&lt;&gt;$E$6,IF($V$8=F5,$V$2*M29,0),$V$2*3),$B$36-SUM($J$6:$J6)),0)&lt;0,0,ROUND(MIN(IF($V$17&lt;&gt;$E$6,IF($V$8=G5,$V$2*N29,0)+IF($V$8&lt;G5,$V$2*3,0),$V$2*3),$B$36-SUM($J$6:$J6)-SUM($F$7:F7)),0)))&gt;0,IF(ISERROR(IF(ROUND(MIN(IF($V$17&lt;&gt;$E$6,IF($V$8=F5,$V$2*M29,0),$V$2*3),$B$36-SUM($J$6:$J6)),0)&lt;0,0,ROUND(MIN(IF($V$17&lt;&gt;$E$6,IF($V$8=G5,$V$2*N29,0)+IF($V$8&lt;G5,$V$2*3,0),$V$2*3),$B$36-SUM($J$6:$J6)-SUM($F$7:F7)),0))),"",IF(ROUND(MIN(IF($V$17&lt;&gt;$E$6,IF($V$8=F5,$V$2*M29,0),$V$2*3),$B$36-SUM($J$6:$J6)),0)&lt;0,0,ROUND(MIN(IF($V$17&lt;&gt;$E$6,IF($V$8=G5,$V$2*N29,0)+IF($V$8&lt;G5,$V$2*3,0),$V$2*3),$B$36-SUM($J$6:$J6)-SUM($F$7:F7)),0))),0)</f>
        <v/>
      </c>
      <c r="H7" s="6" t="str">
        <f>IF(IF(ISERROR(IF(ROUND(MIN(IF($V$17&lt;&gt;$E$6,IF($V$8=F5,$V$2*M29,0),$V$2*3),$B$36-SUM($J$6:$J6)),0)&lt;0,0,ROUND(MIN(IF($V$17&lt;&gt;$E$6,IF($V$8=H5,$V$2*O29,0)+IF($V$8&lt;H5,$V$2*3,0),$V$2*3),$B$36-SUM($J$6:$J6)-SUM($F$7:G7)),0))),"",IF(ROUND(MIN(IF($V$17&lt;&gt;$E$6,IF($V$8=F5,$V$2*M29,0),$V$2*3),$B$36-SUM($J$6:$J6)),0)&lt;0,0,ROUND(MIN(IF($V$17&lt;&gt;$E$6,IF($V$8=H5,$V$2*O29,0)+IF($V$8&lt;H5,$V$2*3,0),$V$2*3),$B$36-SUM($J$6:$J6)-SUM($F$7:G7)),0)))&gt;0,IF(ISERROR(IF(ROUND(MIN(IF($V$17&lt;&gt;$E$6,IF($V$8=F5,$V$2*M29,0),$V$2*3),$B$36-SUM($J$6:$J6)),0)&lt;0,0,ROUND(MIN(IF($V$17&lt;&gt;$E$6,IF($V$8=H5,$V$2*O29,0)+IF($V$8&lt;H5,$V$2*3,0),$V$2*3),$B$36-SUM($J$6:$J6)-SUM($F$7:G7)),0))),"",IF(ROUND(MIN(IF($V$17&lt;&gt;$E$6,IF($V$8=F5,$V$2*M29,0),$V$2*3),$B$36-SUM($J$6:$J6)),0)&lt;0,0,ROUND(MIN(IF($V$17&lt;&gt;$E$6,IF($V$8=H5,$V$2*O29,0)+IF($V$8&lt;H5,$V$2*3,0),$V$2*3),$B$36-SUM($J$6:$J6)-SUM($F$7:G7)),0))),0)</f>
        <v/>
      </c>
      <c r="I7" s="6" t="str">
        <f>IF(IF(ISERROR(IF(ROUND(MIN(IF($V$17&lt;&gt;$E$6,IF($V$8=F5,$V$2*M29,0),$V$2*3),$B$36-SUM($J$6:$J6)),0)&lt;0,0,ROUND(MIN(IF($V$17&lt;&gt;$E$6,IF($V$8=I5,$V$2*P29,0)+IF($V$8&lt;I5,$V$2*3,0),$V$2*3),$B$36-SUM($J$6:$J6)-SUM($F$7:H7)),0))),"",IF(ROUND(MIN(IF($V$17&lt;&gt;$E$6,IF($V$8=F5,$V$2*M29,0),$V$2*3),$B$36-SUM($J$6:$J6)),0)&lt;0,0,ROUND(MIN(IF($V$17&lt;&gt;$E$6,IF($V$8=I5,$V$2*P29,0)+IF($V$8&lt;I5,$V$2*3,0),$V$2*3),$B$36-SUM($J$6:$J6)-SUM($F$7:H7)),0)))&gt;0,IF(ISERROR(IF(ROUND(MIN(IF($V$17&lt;&gt;$E$6,IF($V$8=F5,$V$2*M29,0),$V$2*3),$B$36-SUM($J$6:$J6)),0)&lt;0,0,ROUND(MIN(IF($V$17&lt;&gt;$E$6,IF($V$8=I5,$V$2*P29,0)+IF($V$8&lt;I5,$V$2*3,0),$V$2*3),$B$36-SUM($J$6:$J6)-SUM($F$7:H7)),0))),"",IF(ROUND(MIN(IF($V$17&lt;&gt;$E$6,IF($V$8=F5,$V$2*M29,0),$V$2*3),$B$36-SUM($J$6:$J6)),0)&lt;0,0,ROUND(MIN(IF($V$17&lt;&gt;$E$6,IF($V$8=I5,$V$2*P29,0)+IF($V$8&lt;I5,$V$2*3,0),$V$2*3),$B$36-SUM($J$6:$J6)-SUM($F$7:H7)),0))),0)</f>
        <v/>
      </c>
      <c r="J7" s="7" t="str">
        <f>IF(E7="","",SUM(F7:I7))</f>
        <v/>
      </c>
      <c r="L7" s="18">
        <v>5</v>
      </c>
      <c r="M7" s="19">
        <v>2</v>
      </c>
      <c r="N7" s="19">
        <v>5</v>
      </c>
      <c r="O7" s="20">
        <v>2</v>
      </c>
      <c r="R7" s="5">
        <v>5</v>
      </c>
      <c r="S7" s="21" t="e">
        <f t="shared" si="0"/>
        <v>#VALUE!</v>
      </c>
      <c r="U7" s="16" t="s">
        <v>3</v>
      </c>
      <c r="V7" s="26" t="e">
        <f>(YEAR($B$19)-YEAR(DATE(YEAR($B$19)-1,MONTH($B$13),DAY($B$13))))*12+MONTH($B$19)-MONTH(DATE(YEAR($B$19)-1,MONTH($B$13),DAY($B$13)))</f>
        <v>#VALUE!</v>
      </c>
    </row>
    <row r="8" spans="1:22" ht="15" customHeight="1" x14ac:dyDescent="0.25">
      <c r="A8" s="153"/>
      <c r="B8" s="154"/>
      <c r="C8" s="155"/>
      <c r="E8" s="5" t="str">
        <f>IF(OR(F8="",F8=0),"",E7+1)</f>
        <v/>
      </c>
      <c r="F8" s="6" t="str">
        <f>IF(IF(OR(I7="",I7=0),"",IF(ROUND(MIN($V$2*3,$B$36-SUM($J$6:$J7)),0)&lt;0,0,ROUND(MIN($V$2*3,$B$36-SUM($J$6:$J7)),0)))&gt;0,IF(OR(I7="",I7=0),"",IF(ROUND(MIN($V$2*3,$B$36-SUM($J$6:$J7)),0)&lt;0,0,ROUND(MIN($V$2*3,$B$36-SUM($J$6:$J7)),0))),0)</f>
        <v/>
      </c>
      <c r="G8" s="6" t="str">
        <f>IF(IF(OR(F8="",F8=0),"",IF(ROUND(MIN($V$2*3,$B$36-SUM($J$6:$J7)-SUM($F8:F8)),0)&lt;0,0,ROUND(MIN($V$2*3,$B$36-SUM($J$6:$J7)-SUM($F8:F8)),0)))&gt;0,IF(OR(F8="",F8=0),"",IF(ROUND(MIN($V$2*3,$B$36-SUM($J$6:$J7)-SUM($F8:F8)),0)&lt;0,0,ROUND(MIN($V$2*3,$B$36-SUM($J$6:$J7)-SUM($F8:F8)),0))),0)</f>
        <v/>
      </c>
      <c r="H8" s="6" t="str">
        <f>IF(IF(OR(G8="",G8=0),"",IF(ROUND(MIN($V$2*3,$B$36-SUM($J$6:$J7)-SUM($F8:G8)),0)&lt;0,0,ROUND(MIN($V$2*3,$B$36-SUM($J$6:$J7)-SUM($F8:G8)),0)))&gt;0,IF(OR(G8="",G8=0),"",IF(ROUND(MIN($V$2*3,$B$36-SUM($J$6:$J7)-SUM($F8:G8)),0)&lt;0,0,ROUND(MIN($V$2*3,$B$36-SUM($J$6:$J7)-SUM($F8:G8)),0))),0)</f>
        <v/>
      </c>
      <c r="I8" s="6" t="str">
        <f>IF(IF(OR(H8="",H8=0),"",IF(ROUND(MIN($V$2*3,$B$36-SUM($J$6:$J7)-SUM($F8:H8)),0)&lt;0,0,ROUND(MIN($V$2*3,$B$36-SUM($J$6:$J7)-SUM($F8:H8)),0)))&gt;0,IF(OR(H8="",H8=0),"",IF(ROUND(MIN($V$2*3,$B$36-SUM($J$6:$J7)-SUM($F8:H8)),0)&lt;0,0,ROUND(MIN($V$2*3,$B$36-SUM($J$6:$J7)-SUM($F8:H8)),0))),0)</f>
        <v/>
      </c>
      <c r="J8" s="7" t="str">
        <f t="shared" ref="J8:J36" si="1">IF(E8="","",SUM(F8:I8))</f>
        <v/>
      </c>
      <c r="L8" s="18">
        <v>6</v>
      </c>
      <c r="M8" s="19">
        <v>2</v>
      </c>
      <c r="N8" s="19">
        <v>6</v>
      </c>
      <c r="O8" s="20">
        <v>1</v>
      </c>
      <c r="R8" s="5">
        <v>6</v>
      </c>
      <c r="S8" s="21" t="e">
        <f t="shared" si="0"/>
        <v>#VALUE!</v>
      </c>
      <c r="U8" s="22" t="s">
        <v>2</v>
      </c>
      <c r="V8" s="21" t="e">
        <f>LOOKUP(V7,$L$3:$L$26,$M$3:$M$26)</f>
        <v>#VALUE!</v>
      </c>
    </row>
    <row r="9" spans="1:22" ht="15" customHeight="1" thickBot="1" x14ac:dyDescent="0.3">
      <c r="A9" s="156"/>
      <c r="B9" s="157"/>
      <c r="C9" s="158"/>
      <c r="E9" s="5" t="str">
        <f t="shared" ref="E9:E36" si="2">IF(OR(F9="",F9=0),"",E8+1)</f>
        <v/>
      </c>
      <c r="F9" s="6" t="str">
        <f>IF(IF(OR(I8="",I8=0),"",IF(ROUND(MIN($V$2*3,$B$36-SUM($J$6:$J8)),0)&lt;0,0,ROUND(MIN($V$2*3,$B$36-SUM($J$6:$J8)),0)))&gt;0,IF(OR(I8="",I8=0),"",IF(ROUND(MIN($V$2*3,$B$36-SUM($J$6:$J8)),0)&lt;0,0,ROUND(MIN($V$2*3,$B$36-SUM($J$6:$J8)),0))),0)</f>
        <v/>
      </c>
      <c r="G9" s="6" t="str">
        <f>IF(IF(OR(F9="",F9=0),"",IF(ROUND(MIN($V$2*3,$B$36-SUM($J$6:$J8)-SUM($F9:F9)),0)&lt;0,0,ROUND(MIN($V$2*3,$B$36-SUM($J$6:$J8)-SUM($F9:F9)),0)))&gt;0,IF(OR(F9="",F9=0),"",IF(ROUND(MIN($V$2*3,$B$36-SUM($J$6:$J8)-SUM($F9:F9)),0)&lt;0,0,ROUND(MIN($V$2*3,$B$36-SUM($J$6:$J8)-SUM($F9:F9)),0))),0)</f>
        <v/>
      </c>
      <c r="H9" s="6" t="str">
        <f>IF(IF(OR(G9="",G9=0),"",IF(ROUND(MIN($V$2*3,$B$36-SUM($J$6:$J8)-SUM($F9:G9)),0)&lt;0,0,ROUND(MIN($V$2*3,$B$36-SUM($J$6:$J8)-SUM($F9:G9)),0)))&gt;0,IF(OR(G9="",G9=0),"",IF(ROUND(MIN($V$2*3,$B$36-SUM($J$6:$J8)-SUM($F9:G9)),0)&lt;0,0,ROUND(MIN($V$2*3,$B$36-SUM($J$6:$J8)-SUM($F9:G9)),0))),0)</f>
        <v/>
      </c>
      <c r="I9" s="6" t="str">
        <f>IF(IF(OR(H9="",H9=0),"",IF(ROUND(MIN($V$2*3,$B$36-SUM($J$6:$J8)-SUM($F9:H9)),0)&lt;0,0,ROUND(MIN($V$2*3,$B$36-SUM($J$6:$J8)-SUM($F9:H9)),0)))&gt;0,IF(OR(H9="",H9=0),"",IF(ROUND(MIN($V$2*3,$B$36-SUM($J$6:$J8)-SUM($F9:H9)),0)&lt;0,0,ROUND(MIN($V$2*3,$B$36-SUM($J$6:$J8)-SUM($F9:H9)),0))),0)</f>
        <v/>
      </c>
      <c r="J9" s="7" t="str">
        <f t="shared" si="1"/>
        <v/>
      </c>
      <c r="L9" s="18">
        <v>7</v>
      </c>
      <c r="M9" s="19">
        <v>3</v>
      </c>
      <c r="N9" s="19">
        <v>7</v>
      </c>
      <c r="O9" s="20">
        <v>3</v>
      </c>
      <c r="P9" s="30"/>
      <c r="Q9" s="30"/>
      <c r="R9" s="5">
        <v>7</v>
      </c>
      <c r="S9" s="21" t="e">
        <f t="shared" si="0"/>
        <v>#VALUE!</v>
      </c>
      <c r="U9" s="28" t="s">
        <v>9</v>
      </c>
      <c r="V9" s="29" t="e">
        <f>DATE(YEAR($B$42),MONTH($B$13),DAY($B$13))</f>
        <v>#VALUE!</v>
      </c>
    </row>
    <row r="10" spans="1:22" ht="12.75" customHeight="1" thickBot="1" x14ac:dyDescent="0.3">
      <c r="A10" s="70" t="s">
        <v>39</v>
      </c>
      <c r="B10" s="106"/>
      <c r="C10" s="72"/>
      <c r="E10" s="5" t="str">
        <f t="shared" si="2"/>
        <v/>
      </c>
      <c r="F10" s="6" t="str">
        <f>IF(IF(OR(I9="",I9=0),"",IF(ROUND(MIN($V$2*3,$B$36-SUM($J$6:$J9)),0)&lt;0,0,ROUND(MIN($V$2*3,$B$36-SUM($J$6:$J9)),0)))&gt;0,IF(OR(I9="",I9=0),"",IF(ROUND(MIN($V$2*3,$B$36-SUM($J$6:$J9)),0)&lt;0,0,ROUND(MIN($V$2*3,$B$36-SUM($J$6:$J9)),0))),0)</f>
        <v/>
      </c>
      <c r="G10" s="6" t="str">
        <f>IF(IF(OR(F10="",F10=0),"",IF(ROUND(MIN($V$2*3,$B$36-SUM($J$6:$J9)-SUM($F10:F10)),0)&lt;0,0,ROUND(MIN($V$2*3,$B$36-SUM($J$6:$J9)-SUM($F10:F10)),0)))&gt;0,IF(OR(F10="",F10=0),"",IF(ROUND(MIN($V$2*3,$B$36-SUM($J$6:$J9)-SUM($F10:F10)),0)&lt;0,0,ROUND(MIN($V$2*3,$B$36-SUM($J$6:$J9)-SUM($F10:F10)),0))),0)</f>
        <v/>
      </c>
      <c r="H10" s="6" t="str">
        <f>IF(IF(OR(G10="",G10=0),"",IF(ROUND(MIN($V$2*3,$B$36-SUM($J$6:$J9)-SUM($F10:G10)),0)&lt;0,0,ROUND(MIN($V$2*3,$B$36-SUM($J$6:$J9)-SUM($F10:G10)),0)))&gt;0,IF(OR(G10="",G10=0),"",IF(ROUND(MIN($V$2*3,$B$36-SUM($J$6:$J9)-SUM($F10:G10)),0)&lt;0,0,ROUND(MIN($V$2*3,$B$36-SUM($J$6:$J9)-SUM($F10:G10)),0))),0)</f>
        <v/>
      </c>
      <c r="I10" s="6" t="str">
        <f>IF(IF(OR(H10="",H10=0),"",IF(ROUND(MIN($V$2*3,$B$36-SUM($J$6:$J9)-SUM($F10:H10)),0)&lt;0,0,ROUND(MIN($V$2*3,$B$36-SUM($J$6:$J9)-SUM($F10:H10)),0)))&gt;0,IF(OR(H10="",H10=0),"",IF(ROUND(MIN($V$2*3,$B$36-SUM($J$6:$J9)-SUM($F10:H10)),0)&lt;0,0,ROUND(MIN($V$2*3,$B$36-SUM($J$6:$J9)-SUM($F10:H10)),0))),0)</f>
        <v/>
      </c>
      <c r="J10" s="7" t="str">
        <f t="shared" si="1"/>
        <v/>
      </c>
      <c r="L10" s="18">
        <v>8</v>
      </c>
      <c r="M10" s="19">
        <v>3</v>
      </c>
      <c r="N10" s="19">
        <v>8</v>
      </c>
      <c r="O10" s="20">
        <v>2</v>
      </c>
      <c r="R10" s="5">
        <v>8</v>
      </c>
      <c r="S10" s="21" t="e">
        <f t="shared" si="0"/>
        <v>#VALUE!</v>
      </c>
      <c r="U10" s="54"/>
    </row>
    <row r="11" spans="1:22" ht="12.75" customHeight="1" thickBot="1" x14ac:dyDescent="0.3">
      <c r="A11" s="73" t="s">
        <v>12</v>
      </c>
      <c r="B11" s="107" t="str">
        <f>IF('HP Equipment 1'!B11="","",'HP Equipment 1'!B11)</f>
        <v/>
      </c>
      <c r="C11" s="74"/>
      <c r="E11" s="5" t="str">
        <f t="shared" si="2"/>
        <v/>
      </c>
      <c r="F11" s="6" t="str">
        <f>IF(IF(OR(I10="",I10=0),"",IF(ROUND(MIN($V$2*3,$B$36-SUM($J$6:$J10)),0)&lt;0,0,ROUND(MIN($V$2*3,$B$36-SUM($J$6:$J10)),0)))&gt;0,IF(OR(I10="",I10=0),"",IF(ROUND(MIN($V$2*3,$B$36-SUM($J$6:$J10)),0)&lt;0,0,ROUND(MIN($V$2*3,$B$36-SUM($J$6:$J10)),0))),0)</f>
        <v/>
      </c>
      <c r="G11" s="6" t="str">
        <f>IF(IF(OR(F11="",F11=0),"",IF(ROUND(MIN($V$2*3,$B$36-SUM($J$6:$J10)-SUM($F11:F11)),0)&lt;0,0,ROUND(MIN($V$2*3,$B$36-SUM($J$6:$J10)-SUM($F11:F11)),0)))&gt;0,IF(OR(F11="",F11=0),"",IF(ROUND(MIN($V$2*3,$B$36-SUM($J$6:$J10)-SUM($F11:F11)),0)&lt;0,0,ROUND(MIN($V$2*3,$B$36-SUM($J$6:$J10)-SUM($F11:F11)),0))),0)</f>
        <v/>
      </c>
      <c r="H11" s="6" t="str">
        <f>IF(IF(OR(G11="",G11=0),"",IF(ROUND(MIN($V$2*3,$B$36-SUM($J$6:$J10)-SUM($F11:G11)),0)&lt;0,0,ROUND(MIN($V$2*3,$B$36-SUM($J$6:$J10)-SUM($F11:G11)),0)))&gt;0,IF(OR(G11="",G11=0),"",IF(ROUND(MIN($V$2*3,$B$36-SUM($J$6:$J10)-SUM($F11:G11)),0)&lt;0,0,ROUND(MIN($V$2*3,$B$36-SUM($J$6:$J10)-SUM($F11:G11)),0))),0)</f>
        <v/>
      </c>
      <c r="I11" s="6" t="str">
        <f>IF(IF(OR(H11="",H11=0),"",IF(ROUND(MIN($V$2*3,$B$36-SUM($J$6:$J10)-SUM($F11:H11)),0)&lt;0,0,ROUND(MIN($V$2*3,$B$36-SUM($J$6:$J10)-SUM($F11:H11)),0)))&gt;0,IF(OR(H11="",H11=0),"",IF(ROUND(MIN($V$2*3,$B$36-SUM($J$6:$J10)-SUM($F11:H11)),0)&lt;0,0,ROUND(MIN($V$2*3,$B$36-SUM($J$6:$J10)-SUM($F11:H11)),0))),0)</f>
        <v/>
      </c>
      <c r="J11" s="7" t="str">
        <f t="shared" si="1"/>
        <v/>
      </c>
      <c r="L11" s="18">
        <v>9</v>
      </c>
      <c r="M11" s="19">
        <v>3</v>
      </c>
      <c r="N11" s="19">
        <v>9</v>
      </c>
      <c r="O11" s="20">
        <v>1</v>
      </c>
      <c r="R11" s="5">
        <v>9</v>
      </c>
      <c r="S11" s="21" t="e">
        <f t="shared" si="0"/>
        <v>#VALUE!</v>
      </c>
      <c r="U11" s="1" t="s">
        <v>46</v>
      </c>
    </row>
    <row r="12" spans="1:22" ht="12.75" customHeight="1" x14ac:dyDescent="0.25">
      <c r="A12" s="73" t="s">
        <v>13</v>
      </c>
      <c r="B12" s="58" t="str">
        <f>IF('HP Equipment 1'!B12="","",'HP Equipment 1'!B12)</f>
        <v/>
      </c>
      <c r="C12" s="74"/>
      <c r="E12" s="5" t="str">
        <f t="shared" si="2"/>
        <v/>
      </c>
      <c r="F12" s="6" t="str">
        <f>IF(IF(OR(I11="",I11=0),"",IF(ROUND(MIN($V$2*3,$B$36-SUM($J$6:$J11)),0)&lt;0,0,ROUND(MIN($V$2*3,$B$36-SUM($J$6:$J11)),0)))&gt;0,IF(OR(I11="",I11=0),"",IF(ROUND(MIN($V$2*3,$B$36-SUM($J$6:$J11)),0)&lt;0,0,ROUND(MIN($V$2*3,$B$36-SUM($J$6:$J11)),0))),0)</f>
        <v/>
      </c>
      <c r="G12" s="6" t="str">
        <f>IF(IF(OR(F12="",F12=0),"",IF(ROUND(MIN($V$2*3,$B$36-SUM($J$6:$J11)-SUM($F12:F12)),0)&lt;0,0,ROUND(MIN($V$2*3,$B$36-SUM($J$6:$J11)-SUM($F12:F12)),0)))&gt;0,IF(OR(F12="",F12=0),"",IF(ROUND(MIN($V$2*3,$B$36-SUM($J$6:$J11)-SUM($F12:F12)),0)&lt;0,0,ROUND(MIN($V$2*3,$B$36-SUM($J$6:$J11)-SUM($F12:F12)),0))),0)</f>
        <v/>
      </c>
      <c r="H12" s="6" t="str">
        <f>IF(IF(OR(G12="",G12=0),"",IF(ROUND(MIN($V$2*3,$B$36-SUM($J$6:$J11)-SUM($F12:G12)),0)&lt;0,0,ROUND(MIN($V$2*3,$B$36-SUM($J$6:$J11)-SUM($F12:G12)),0)))&gt;0,IF(OR(G12="",G12=0),"",IF(ROUND(MIN($V$2*3,$B$36-SUM($J$6:$J11)-SUM($F12:G12)),0)&lt;0,0,ROUND(MIN($V$2*3,$B$36-SUM($J$6:$J11)-SUM($F12:G12)),0))),0)</f>
        <v/>
      </c>
      <c r="I12" s="6" t="str">
        <f>IF(IF(OR(H12="",H12=0),"",IF(ROUND(MIN($V$2*3,$B$36-SUM($J$6:$J11)-SUM($F12:H12)),0)&lt;0,0,ROUND(MIN($V$2*3,$B$36-SUM($J$6:$J11)-SUM($F12:H12)),0)))&gt;0,IF(OR(H12="",H12=0),"",IF(ROUND(MIN($V$2*3,$B$36-SUM($J$6:$J11)-SUM($F12:H12)),0)&lt;0,0,ROUND(MIN($V$2*3,$B$36-SUM($J$6:$J11)-SUM($F12:H12)),0))),0)</f>
        <v/>
      </c>
      <c r="J12" s="7" t="str">
        <f t="shared" si="1"/>
        <v/>
      </c>
      <c r="L12" s="18">
        <v>10</v>
      </c>
      <c r="M12" s="19">
        <v>4</v>
      </c>
      <c r="N12" s="19">
        <v>10</v>
      </c>
      <c r="O12" s="20">
        <v>3</v>
      </c>
      <c r="P12" s="30"/>
      <c r="Q12" s="30"/>
      <c r="R12" s="5">
        <v>10</v>
      </c>
      <c r="S12" s="21" t="e">
        <f t="shared" si="0"/>
        <v>#VALUE!</v>
      </c>
      <c r="U12" s="16" t="s">
        <v>3</v>
      </c>
      <c r="V12" s="26" t="e">
        <f>(YEAR($B$18)-YEAR(DATE(YEAR($B$18)-1,MONTH($B$13),DAY($B$13))))*12+MONTH($B$18)-MONTH(DATE(YEAR($B$18)-1,MONTH($B$13),DAY($B$13)))</f>
        <v>#VALUE!</v>
      </c>
    </row>
    <row r="13" spans="1:22" ht="12.75" customHeight="1" x14ac:dyDescent="0.25">
      <c r="A13" s="73" t="s">
        <v>14</v>
      </c>
      <c r="B13" s="110" t="str">
        <f>IF('HP Equipment 1'!B13="","",'HP Equipment 1'!B13)</f>
        <v/>
      </c>
      <c r="C13" s="74"/>
      <c r="E13" s="5" t="str">
        <f t="shared" si="2"/>
        <v/>
      </c>
      <c r="F13" s="6" t="str">
        <f>IF(IF(OR(I12="",I12=0),"",IF(ROUND(MIN($V$2*3,$B$36-SUM($J$6:$J12)),0)&lt;0,0,ROUND(MIN($V$2*3,$B$36-SUM($J$6:$J12)),0)))&gt;0,IF(OR(I12="",I12=0),"",IF(ROUND(MIN($V$2*3,$B$36-SUM($J$6:$J12)),0)&lt;0,0,ROUND(MIN($V$2*3,$B$36-SUM($J$6:$J12)),0))),0)</f>
        <v/>
      </c>
      <c r="G13" s="6" t="str">
        <f>IF(IF(OR(F13="",F13=0),"",IF(ROUND(MIN($V$2*3,$B$36-SUM($J$6:$J12)-SUM($F13:F13)),0)&lt;0,0,ROUND(MIN($V$2*3,$B$36-SUM($J$6:$J12)-SUM($F13:F13)),0)))&gt;0,IF(OR(F13="",F13=0),"",IF(ROUND(MIN($V$2*3,$B$36-SUM($J$6:$J12)-SUM($F13:F13)),0)&lt;0,0,ROUND(MIN($V$2*3,$B$36-SUM($J$6:$J12)-SUM($F13:F13)),0))),0)</f>
        <v/>
      </c>
      <c r="H13" s="6" t="str">
        <f>IF(IF(OR(G13="",G13=0),"",IF(ROUND(MIN($V$2*3,$B$36-SUM($J$6:$J12)-SUM($F13:G13)),0)&lt;0,0,ROUND(MIN($V$2*3,$B$36-SUM($J$6:$J12)-SUM($F13:G13)),0)))&gt;0,IF(OR(G13="",G13=0),"",IF(ROUND(MIN($V$2*3,$B$36-SUM($J$6:$J12)-SUM($F13:G13)),0)&lt;0,0,ROUND(MIN($V$2*3,$B$36-SUM($J$6:$J12)-SUM($F13:G13)),0))),0)</f>
        <v/>
      </c>
      <c r="I13" s="6" t="str">
        <f>IF(IF(OR(H13="",H13=0),"",IF(ROUND(MIN($V$2*3,$B$36-SUM($J$6:$J12)-SUM($F13:H13)),0)&lt;0,0,ROUND(MIN($V$2*3,$B$36-SUM($J$6:$J12)-SUM($F13:H13)),0)))&gt;0,IF(OR(H13="",H13=0),"",IF(ROUND(MIN($V$2*3,$B$36-SUM($J$6:$J12)-SUM($F13:H13)),0)&lt;0,0,ROUND(MIN($V$2*3,$B$36-SUM($J$6:$J12)-SUM($F13:H13)),0))),0)</f>
        <v/>
      </c>
      <c r="J13" s="7" t="str">
        <f t="shared" si="1"/>
        <v/>
      </c>
      <c r="L13" s="18">
        <v>11</v>
      </c>
      <c r="M13" s="19">
        <v>4</v>
      </c>
      <c r="N13" s="19">
        <v>11</v>
      </c>
      <c r="O13" s="20">
        <v>2</v>
      </c>
      <c r="P13" s="30"/>
      <c r="Q13" s="30"/>
      <c r="R13" s="5">
        <v>11</v>
      </c>
      <c r="S13" s="21" t="e">
        <f t="shared" si="0"/>
        <v>#VALUE!</v>
      </c>
      <c r="U13" s="22" t="s">
        <v>2</v>
      </c>
      <c r="V13" s="21" t="e">
        <f>LOOKUP(V12,$L$3:$L$26,$M$3:$M$26)</f>
        <v>#VALUE!</v>
      </c>
    </row>
    <row r="14" spans="1:22" ht="12.75" customHeight="1" thickBot="1" x14ac:dyDescent="0.3">
      <c r="A14" s="73" t="s">
        <v>86</v>
      </c>
      <c r="B14" s="58" t="str">
        <f>IF('HP Equipment 1'!B14="","",'HP Equipment 1'!B14)</f>
        <v/>
      </c>
      <c r="C14" s="74"/>
      <c r="E14" s="5" t="str">
        <f t="shared" si="2"/>
        <v/>
      </c>
      <c r="F14" s="6" t="str">
        <f>IF(IF(OR(I13="",I13=0),"",IF(ROUND(MIN($V$2*3,$B$36-SUM($J$6:$J13)),0)&lt;0,0,ROUND(MIN($V$2*3,$B$36-SUM($J$6:$J13)),0)))&gt;0,IF(OR(I13="",I13=0),"",IF(ROUND(MIN($V$2*3,$B$36-SUM($J$6:$J13)),0)&lt;0,0,ROUND(MIN($V$2*3,$B$36-SUM($J$6:$J13)),0))),0)</f>
        <v/>
      </c>
      <c r="G14" s="6" t="str">
        <f>IF(IF(OR(F14="",F14=0),"",IF(ROUND(MIN($V$2*3,$B$36-SUM($J$6:$J13)-SUM($F14:F14)),0)&lt;0,0,ROUND(MIN($V$2*3,$B$36-SUM($J$6:$J13)-SUM($F14:F14)),0)))&gt;0,IF(OR(F14="",F14=0),"",IF(ROUND(MIN($V$2*3,$B$36-SUM($J$6:$J13)-SUM($F14:F14)),0)&lt;0,0,ROUND(MIN($V$2*3,$B$36-SUM($J$6:$J13)-SUM($F14:F14)),0))),0)</f>
        <v/>
      </c>
      <c r="H14" s="6" t="str">
        <f>IF(IF(OR(G14="",G14=0),"",IF(ROUND(MIN($V$2*3,$B$36-SUM($J$6:$J13)-SUM($F14:G14)),0)&lt;0,0,ROUND(MIN($V$2*3,$B$36-SUM($J$6:$J13)-SUM($F14:G14)),0)))&gt;0,IF(OR(G14="",G14=0),"",IF(ROUND(MIN($V$2*3,$B$36-SUM($J$6:$J13)-SUM($F14:G14)),0)&lt;0,0,ROUND(MIN($V$2*3,$B$36-SUM($J$6:$J13)-SUM($F14:G14)),0))),0)</f>
        <v/>
      </c>
      <c r="I14" s="6" t="str">
        <f>IF(IF(OR(H14="",H14=0),"",IF(ROUND(MIN($V$2*3,$B$36-SUM($J$6:$J13)-SUM($F14:H14)),0)&lt;0,0,ROUND(MIN($V$2*3,$B$36-SUM($J$6:$J13)-SUM($F14:H14)),0)))&gt;0,IF(OR(H14="",H14=0),"",IF(ROUND(MIN($V$2*3,$B$36-SUM($J$6:$J13)-SUM($F14:H14)),0)&lt;0,0,ROUND(MIN($V$2*3,$B$36-SUM($J$6:$J13)-SUM($F14:H14)),0))),0)</f>
        <v/>
      </c>
      <c r="J14" s="7" t="str">
        <f t="shared" si="1"/>
        <v/>
      </c>
      <c r="L14" s="18">
        <v>12</v>
      </c>
      <c r="M14" s="19">
        <v>4</v>
      </c>
      <c r="N14" s="19">
        <v>12</v>
      </c>
      <c r="O14" s="20">
        <v>1</v>
      </c>
      <c r="R14" s="5">
        <v>12</v>
      </c>
      <c r="S14" s="21" t="e">
        <f t="shared" si="0"/>
        <v>#VALUE!</v>
      </c>
      <c r="U14" s="28" t="s">
        <v>9</v>
      </c>
      <c r="V14" s="29" t="e">
        <f>DATE(YEAR($B$42),MONTH($B$13),DAY($B$13))</f>
        <v>#VALUE!</v>
      </c>
    </row>
    <row r="15" spans="1:22" ht="12.75" customHeight="1" thickBot="1" x14ac:dyDescent="0.3">
      <c r="A15" s="73"/>
      <c r="B15" s="58"/>
      <c r="C15" s="74"/>
      <c r="E15" s="5" t="str">
        <f t="shared" si="2"/>
        <v/>
      </c>
      <c r="F15" s="6" t="str">
        <f>IF(IF(OR(I14="",I14=0),"",IF(ROUND(MIN($V$2*3,$B$36-SUM($J$6:$J14)),0)&lt;0,0,ROUND(MIN($V$2*3,$B$36-SUM($J$6:$J14)),0)))&gt;0,IF(OR(I14="",I14=0),"",IF(ROUND(MIN($V$2*3,$B$36-SUM($J$6:$J14)),0)&lt;0,0,ROUND(MIN($V$2*3,$B$36-SUM($J$6:$J14)),0))),0)</f>
        <v/>
      </c>
      <c r="G15" s="6" t="str">
        <f>IF(IF(OR(F15="",F15=0),"",IF(ROUND(MIN($V$2*3,$B$36-SUM($J$6:$J14)-SUM($F15:F15)),0)&lt;0,0,ROUND(MIN($V$2*3,$B$36-SUM($J$6:$J14)-SUM($F15:F15)),0)))&gt;0,IF(OR(F15="",F15=0),"",IF(ROUND(MIN($V$2*3,$B$36-SUM($J$6:$J14)-SUM($F15:F15)),0)&lt;0,0,ROUND(MIN($V$2*3,$B$36-SUM($J$6:$J14)-SUM($F15:F15)),0))),0)</f>
        <v/>
      </c>
      <c r="H15" s="6" t="str">
        <f>IF(IF(OR(G15="",G15=0),"",IF(ROUND(MIN($V$2*3,$B$36-SUM($J$6:$J14)-SUM($F15:G15)),0)&lt;0,0,ROUND(MIN($V$2*3,$B$36-SUM($J$6:$J14)-SUM($F15:G15)),0)))&gt;0,IF(OR(G15="",G15=0),"",IF(ROUND(MIN($V$2*3,$B$36-SUM($J$6:$J14)-SUM($F15:G15)),0)&lt;0,0,ROUND(MIN($V$2*3,$B$36-SUM($J$6:$J14)-SUM($F15:G15)),0))),0)</f>
        <v/>
      </c>
      <c r="I15" s="6" t="str">
        <f>IF(IF(OR(H15="",H15=0),"",IF(ROUND(MIN($V$2*3,$B$36-SUM($J$6:$J14)-SUM($F15:H15)),0)&lt;0,0,ROUND(MIN($V$2*3,$B$36-SUM($J$6:$J14)-SUM($F15:H15)),0)))&gt;0,IF(OR(H15="",H15=0),"",IF(ROUND(MIN($V$2*3,$B$36-SUM($J$6:$J14)-SUM($F15:H15)),0)&lt;0,0,ROUND(MIN($V$2*3,$B$36-SUM($J$6:$J14)-SUM($F15:H15)),0))),0)</f>
        <v/>
      </c>
      <c r="J15" s="7" t="str">
        <f t="shared" si="1"/>
        <v/>
      </c>
      <c r="L15" s="18">
        <v>13</v>
      </c>
      <c r="M15" s="19">
        <v>1</v>
      </c>
      <c r="N15" s="19">
        <v>13</v>
      </c>
      <c r="O15" s="20">
        <v>3</v>
      </c>
      <c r="R15" s="5">
        <v>13</v>
      </c>
      <c r="S15" s="21" t="e">
        <f t="shared" si="0"/>
        <v>#VALUE!</v>
      </c>
    </row>
    <row r="16" spans="1:22" ht="13.8" thickBot="1" x14ac:dyDescent="0.3">
      <c r="A16" s="70" t="s">
        <v>41</v>
      </c>
      <c r="B16" s="95"/>
      <c r="C16" s="72"/>
      <c r="E16" s="5" t="str">
        <f t="shared" si="2"/>
        <v/>
      </c>
      <c r="F16" s="6" t="str">
        <f>IF(IF(OR(I15="",I15=0),"",IF(ROUND(MIN($V$2*3,$B$36-SUM($J$6:$J15)),0)&lt;0,0,ROUND(MIN($V$2*3,$B$36-SUM($J$6:$J15)),0)))&gt;0,IF(OR(I15="",I15=0),"",IF(ROUND(MIN($V$2*3,$B$36-SUM($J$6:$J15)),0)&lt;0,0,ROUND(MIN($V$2*3,$B$36-SUM($J$6:$J15)),0))),0)</f>
        <v/>
      </c>
      <c r="G16" s="6" t="str">
        <f>IF(IF(OR(F16="",F16=0),"",IF(ROUND(MIN($V$2*3,$B$36-SUM($J$6:$J15)-SUM($F16:F16)),0)&lt;0,0,ROUND(MIN($V$2*3,$B$36-SUM($J$6:$J15)-SUM($F16:F16)),0)))&gt;0,IF(OR(F16="",F16=0),"",IF(ROUND(MIN($V$2*3,$B$36-SUM($J$6:$J15)-SUM($F16:F16)),0)&lt;0,0,ROUND(MIN($V$2*3,$B$36-SUM($J$6:$J15)-SUM($F16:F16)),0))),0)</f>
        <v/>
      </c>
      <c r="H16" s="6" t="str">
        <f>IF(IF(OR(G16="",G16=0),"",IF(ROUND(MIN($V$2*3,$B$36-SUM($J$6:$J15)-SUM($F16:G16)),0)&lt;0,0,ROUND(MIN($V$2*3,$B$36-SUM($J$6:$J15)-SUM($F16:G16)),0)))&gt;0,IF(OR(G16="",G16=0),"",IF(ROUND(MIN($V$2*3,$B$36-SUM($J$6:$J15)-SUM($F16:G16)),0)&lt;0,0,ROUND(MIN($V$2*3,$B$36-SUM($J$6:$J15)-SUM($F16:G16)),0))),0)</f>
        <v/>
      </c>
      <c r="I16" s="6" t="str">
        <f>IF(IF(OR(H16="",H16=0),"",IF(ROUND(MIN($V$2*3,$B$36-SUM($J$6:$J15)-SUM($F16:H16)),0)&lt;0,0,ROUND(MIN($V$2*3,$B$36-SUM($J$6:$J15)-SUM($F16:H16)),0)))&gt;0,IF(OR(H16="",H16=0),"",IF(ROUND(MIN($V$2*3,$B$36-SUM($J$6:$J15)-SUM($F16:H16)),0)&lt;0,0,ROUND(MIN($V$2*3,$B$36-SUM($J$6:$J15)-SUM($F16:H16)),0))),0)</f>
        <v/>
      </c>
      <c r="J16" s="7" t="str">
        <f t="shared" si="1"/>
        <v/>
      </c>
      <c r="L16" s="18">
        <v>14</v>
      </c>
      <c r="M16" s="19">
        <v>1</v>
      </c>
      <c r="N16" s="19">
        <v>14</v>
      </c>
      <c r="O16" s="20">
        <v>2</v>
      </c>
      <c r="R16" s="5">
        <v>14</v>
      </c>
      <c r="S16" s="21" t="e">
        <f t="shared" si="0"/>
        <v>#VALUE!</v>
      </c>
      <c r="U16" s="1" t="s">
        <v>49</v>
      </c>
    </row>
    <row r="17" spans="1:34" ht="12" customHeight="1" x14ac:dyDescent="0.25">
      <c r="A17" s="73" t="s">
        <v>27</v>
      </c>
      <c r="B17" s="75"/>
      <c r="C17" s="74"/>
      <c r="E17" s="5" t="str">
        <f t="shared" si="2"/>
        <v/>
      </c>
      <c r="F17" s="6" t="str">
        <f>IF(IF(OR(I16="",I16=0),"",IF(ROUND(MIN($V$2*3,$B$36-SUM($J$6:$J16)),0)&lt;0,0,ROUND(MIN($V$2*3,$B$36-SUM($J$6:$J16)),0)))&gt;0,IF(OR(I16="",I16=0),"",IF(ROUND(MIN($V$2*3,$B$36-SUM($J$6:$J16)),0)&lt;0,0,ROUND(MIN($V$2*3,$B$36-SUM($J$6:$J16)),0))),0)</f>
        <v/>
      </c>
      <c r="G17" s="6" t="str">
        <f>IF(IF(OR(F17="",F17=0),"",IF(ROUND(MIN($V$2*3,$B$36-SUM($J$6:$J16)-SUM($F17:F17)),0)&lt;0,0,ROUND(MIN($V$2*3,$B$36-SUM($J$6:$J16)-SUM($F17:F17)),0)))&gt;0,IF(OR(F17="",F17=0),"",IF(ROUND(MIN($V$2*3,$B$36-SUM($J$6:$J16)-SUM($F17:F17)),0)&lt;0,0,ROUND(MIN($V$2*3,$B$36-SUM($J$6:$J16)-SUM($F17:F17)),0))),0)</f>
        <v/>
      </c>
      <c r="H17" s="6" t="str">
        <f>IF(IF(OR(G17="",G17=0),"",IF(ROUND(MIN($V$2*3,$B$36-SUM($J$6:$J16)-SUM($F17:G17)),0)&lt;0,0,ROUND(MIN($V$2*3,$B$36-SUM($J$6:$J16)-SUM($F17:G17)),0)))&gt;0,IF(OR(G17="",G17=0),"",IF(ROUND(MIN($V$2*3,$B$36-SUM($J$6:$J16)-SUM($F17:G17)),0)&lt;0,0,ROUND(MIN($V$2*3,$B$36-SUM($J$6:$J16)-SUM($F17:G17)),0))),0)</f>
        <v/>
      </c>
      <c r="I17" s="6" t="str">
        <f>IF(IF(OR(H17="",H17=0),"",IF(ROUND(MIN($V$2*3,$B$36-SUM($J$6:$J16)-SUM($F17:H17)),0)&lt;0,0,ROUND(MIN($V$2*3,$B$36-SUM($J$6:$J16)-SUM($F17:H17)),0)))&gt;0,IF(OR(H17="",H17=0),"",IF(ROUND(MIN($V$2*3,$B$36-SUM($J$6:$J16)-SUM($F17:H17)),0)&lt;0,0,ROUND(MIN($V$2*3,$B$36-SUM($J$6:$J16)-SUM($F17:H17)),0))),0)</f>
        <v/>
      </c>
      <c r="J17" s="7" t="str">
        <f t="shared" si="1"/>
        <v/>
      </c>
      <c r="L17" s="18">
        <v>15</v>
      </c>
      <c r="M17" s="19">
        <v>1</v>
      </c>
      <c r="N17" s="19">
        <v>15</v>
      </c>
      <c r="O17" s="20">
        <v>1</v>
      </c>
      <c r="R17" s="5">
        <v>15</v>
      </c>
      <c r="S17" s="21" t="e">
        <f t="shared" si="0"/>
        <v>#VALUE!</v>
      </c>
      <c r="U17" s="104" t="s">
        <v>0</v>
      </c>
      <c r="V17" s="34" t="str">
        <f>IF(ISERROR(IF(B19&gt;V18,YEAR(V18)+2,YEAR(V18)+1)),"Please enter the correct relevant period",IF(B19&gt;V18,YEAR(V18)+2,YEAR(V18)+1))</f>
        <v>Please enter the correct relevant period</v>
      </c>
    </row>
    <row r="18" spans="1:34" ht="12" customHeight="1" thickBot="1" x14ac:dyDescent="0.3">
      <c r="A18" s="105" t="s">
        <v>48</v>
      </c>
      <c r="B18" s="76"/>
      <c r="C18" s="74"/>
      <c r="E18" s="5" t="str">
        <f t="shared" si="2"/>
        <v/>
      </c>
      <c r="F18" s="6" t="str">
        <f>IF(IF(OR(I17="",I17=0),"",IF(ROUND(MIN($V$2*3,$B$36-SUM($J$6:$J17)),0)&lt;0,0,ROUND(MIN($V$2*3,$B$36-SUM($J$6:$J17)),0)))&gt;0,IF(OR(I17="",I17=0),"",IF(ROUND(MIN($V$2*3,$B$36-SUM($J$6:$J17)),0)&lt;0,0,ROUND(MIN($V$2*3,$B$36-SUM($J$6:$J17)),0))),0)</f>
        <v/>
      </c>
      <c r="G18" s="6" t="str">
        <f>IF(IF(OR(F18="",F18=0),"",IF(ROUND(MIN($V$2*3,$B$36-SUM($J$6:$J17)-SUM($F18:F18)),0)&lt;0,0,ROUND(MIN($V$2*3,$B$36-SUM($J$6:$J17)-SUM($F18:F18)),0)))&gt;0,IF(OR(F18="",F18=0),"",IF(ROUND(MIN($V$2*3,$B$36-SUM($J$6:$J17)-SUM($F18:F18)),0)&lt;0,0,ROUND(MIN($V$2*3,$B$36-SUM($J$6:$J17)-SUM($F18:F18)),0))),0)</f>
        <v/>
      </c>
      <c r="H18" s="6" t="str">
        <f>IF(IF(OR(G18="",G18=0),"",IF(ROUND(MIN($V$2*3,$B$36-SUM($J$6:$J17)-SUM($F18:G18)),0)&lt;0,0,ROUND(MIN($V$2*3,$B$36-SUM($J$6:$J17)-SUM($F18:G18)),0)))&gt;0,IF(OR(G18="",G18=0),"",IF(ROUND(MIN($V$2*3,$B$36-SUM($J$6:$J17)-SUM($F18:G18)),0)&lt;0,0,ROUND(MIN($V$2*3,$B$36-SUM($J$6:$J17)-SUM($F18:G18)),0))),0)</f>
        <v/>
      </c>
      <c r="I18" s="6" t="str">
        <f>IF(IF(OR(H18="",H18=0),"",IF(ROUND(MIN($V$2*3,$B$36-SUM($J$6:$J17)-SUM($F18:H18)),0)&lt;0,0,ROUND(MIN($V$2*3,$B$36-SUM($J$6:$J17)-SUM($F18:H18)),0)))&gt;0,IF(OR(H18="",H18=0),"",IF(ROUND(MIN($V$2*3,$B$36-SUM($J$6:$J17)-SUM($F18:H18)),0)&lt;0,0,ROUND(MIN($V$2*3,$B$36-SUM($J$6:$J17)-SUM($F18:H18)),0))),0)</f>
        <v/>
      </c>
      <c r="J18" s="7" t="str">
        <f t="shared" si="1"/>
        <v/>
      </c>
      <c r="L18" s="18">
        <v>16</v>
      </c>
      <c r="M18" s="19">
        <v>2</v>
      </c>
      <c r="N18" s="19">
        <v>16</v>
      </c>
      <c r="O18" s="20">
        <v>3</v>
      </c>
      <c r="R18" s="5">
        <v>16</v>
      </c>
      <c r="S18" s="21" t="e">
        <f t="shared" si="0"/>
        <v>#VALUE!</v>
      </c>
      <c r="U18" s="28" t="s">
        <v>9</v>
      </c>
      <c r="V18" s="103" t="e">
        <f>DATE(YEAR($B$19),MONTH($B$13),DAY($B$13))</f>
        <v>#VALUE!</v>
      </c>
    </row>
    <row r="19" spans="1:34" ht="12" customHeight="1" x14ac:dyDescent="0.25">
      <c r="A19" s="73" t="s">
        <v>47</v>
      </c>
      <c r="B19" s="77"/>
      <c r="C19" s="74"/>
      <c r="E19" s="5" t="str">
        <f t="shared" si="2"/>
        <v/>
      </c>
      <c r="F19" s="6" t="str">
        <f>IF(IF(OR(I18="",I18=0),"",IF(ROUND(MIN($V$2*3,$B$36-SUM($J$6:$J18)),0)&lt;0,0,ROUND(MIN($V$2*3,$B$36-SUM($J$6:$J18)),0)))&gt;0,IF(OR(I18="",I18=0),"",IF(ROUND(MIN($V$2*3,$B$36-SUM($J$6:$J18)),0)&lt;0,0,ROUND(MIN($V$2*3,$B$36-SUM($J$6:$J18)),0))),0)</f>
        <v/>
      </c>
      <c r="G19" s="6" t="str">
        <f>IF(IF(OR(F19="",F19=0),"",IF(ROUND(MIN($V$2*3,$B$36-SUM($J$6:$J18)-SUM($F19:F19)),0)&lt;0,0,ROUND(MIN($V$2*3,$B$36-SUM($J$6:$J18)-SUM($F19:F19)),0)))&gt;0,IF(OR(F19="",F19=0),"",IF(ROUND(MIN($V$2*3,$B$36-SUM($J$6:$J18)-SUM($F19:F19)),0)&lt;0,0,ROUND(MIN($V$2*3,$B$36-SUM($J$6:$J18)-SUM($F19:F19)),0))),0)</f>
        <v/>
      </c>
      <c r="H19" s="6" t="str">
        <f>IF(IF(OR(G19="",G19=0),"",IF(ROUND(MIN($V$2*3,$B$36-SUM($J$6:$J18)-SUM($F19:G19)),0)&lt;0,0,ROUND(MIN($V$2*3,$B$36-SUM($J$6:$J18)-SUM($F19:G19)),0)))&gt;0,IF(OR(G19="",G19=0),"",IF(ROUND(MIN($V$2*3,$B$36-SUM($J$6:$J18)-SUM($F19:G19)),0)&lt;0,0,ROUND(MIN($V$2*3,$B$36-SUM($J$6:$J18)-SUM($F19:G19)),0))),0)</f>
        <v/>
      </c>
      <c r="I19" s="6" t="str">
        <f>IF(IF(OR(H19="",H19=0),"",IF(ROUND(MIN($V$2*3,$B$36-SUM($J$6:$J18)-SUM($F19:H19)),0)&lt;0,0,ROUND(MIN($V$2*3,$B$36-SUM($J$6:$J18)-SUM($F19:H19)),0)))&gt;0,IF(OR(H19="",H19=0),"",IF(ROUND(MIN($V$2*3,$B$36-SUM($J$6:$J18)-SUM($F19:H19)),0)&lt;0,0,ROUND(MIN($V$2*3,$B$36-SUM($J$6:$J18)-SUM($F19:H19)),0))),0)</f>
        <v/>
      </c>
      <c r="J19" s="7" t="str">
        <f t="shared" si="1"/>
        <v/>
      </c>
      <c r="L19" s="18">
        <v>17</v>
      </c>
      <c r="M19" s="19">
        <v>2</v>
      </c>
      <c r="N19" s="19">
        <v>17</v>
      </c>
      <c r="O19" s="20">
        <v>2</v>
      </c>
      <c r="R19" s="5">
        <v>17</v>
      </c>
      <c r="S19" s="21" t="e">
        <f t="shared" si="0"/>
        <v>#VALUE!</v>
      </c>
    </row>
    <row r="20" spans="1:34" ht="12" customHeight="1" thickBot="1" x14ac:dyDescent="0.3">
      <c r="A20" s="73" t="s">
        <v>26</v>
      </c>
      <c r="B20" s="78"/>
      <c r="C20" s="74"/>
      <c r="E20" s="5" t="str">
        <f t="shared" si="2"/>
        <v/>
      </c>
      <c r="F20" s="6" t="str">
        <f>IF(IF(OR(I19="",I19=0),"",IF(ROUND(MIN($V$2*3,$B$36-SUM($J$6:$J19)),0)&lt;0,0,ROUND(MIN($V$2*3,$B$36-SUM($J$6:$J19)),0)))&gt;0,IF(OR(I19="",I19=0),"",IF(ROUND(MIN($V$2*3,$B$36-SUM($J$6:$J19)),0)&lt;0,0,ROUND(MIN($V$2*3,$B$36-SUM($J$6:$J19)),0))),0)</f>
        <v/>
      </c>
      <c r="G20" s="6" t="str">
        <f>IF(IF(OR(F20="",F20=0),"",IF(ROUND(MIN($V$2*3,$B$36-SUM($J$6:$J19)-SUM($F20:F20)),0)&lt;0,0,ROUND(MIN($V$2*3,$B$36-SUM($J$6:$J19)-SUM($F20:F20)),0)))&gt;0,IF(OR(F20="",F20=0),"",IF(ROUND(MIN($V$2*3,$B$36-SUM($J$6:$J19)-SUM($F20:F20)),0)&lt;0,0,ROUND(MIN($V$2*3,$B$36-SUM($J$6:$J19)-SUM($F20:F20)),0))),0)</f>
        <v/>
      </c>
      <c r="H20" s="6" t="str">
        <f>IF(IF(OR(G20="",G20=0),"",IF(ROUND(MIN($V$2*3,$B$36-SUM($J$6:$J19)-SUM($F20:G20)),0)&lt;0,0,ROUND(MIN($V$2*3,$B$36-SUM($J$6:$J19)-SUM($F20:G20)),0)))&gt;0,IF(OR(G20="",G20=0),"",IF(ROUND(MIN($V$2*3,$B$36-SUM($J$6:$J19)-SUM($F20:G20)),0)&lt;0,0,ROUND(MIN($V$2*3,$B$36-SUM($J$6:$J19)-SUM($F20:G20)),0))),0)</f>
        <v/>
      </c>
      <c r="I20" s="6" t="str">
        <f>IF(IF(OR(H20="",H20=0),"",IF(ROUND(MIN($V$2*3,$B$36-SUM($J$6:$J19)-SUM($F20:H20)),0)&lt;0,0,ROUND(MIN($V$2*3,$B$36-SUM($J$6:$J19)-SUM($F20:H20)),0)))&gt;0,IF(OR(H20="",H20=0),"",IF(ROUND(MIN($V$2*3,$B$36-SUM($J$6:$J19)-SUM($F20:H20)),0)&lt;0,0,ROUND(MIN($V$2*3,$B$36-SUM($J$6:$J19)-SUM($F20:H20)),0))),0)</f>
        <v/>
      </c>
      <c r="J20" s="7" t="str">
        <f t="shared" si="1"/>
        <v/>
      </c>
      <c r="L20" s="18">
        <v>18</v>
      </c>
      <c r="M20" s="19">
        <v>2</v>
      </c>
      <c r="N20" s="19">
        <v>18</v>
      </c>
      <c r="O20" s="20">
        <v>1</v>
      </c>
      <c r="R20" s="5">
        <v>18</v>
      </c>
      <c r="S20" s="21" t="e">
        <f t="shared" si="0"/>
        <v>#VALUE!</v>
      </c>
      <c r="U20" s="1" t="s">
        <v>50</v>
      </c>
    </row>
    <row r="21" spans="1:34" ht="12" customHeight="1" x14ac:dyDescent="0.25">
      <c r="A21" s="73" t="s">
        <v>30</v>
      </c>
      <c r="B21" s="79"/>
      <c r="C21" s="74"/>
      <c r="E21" s="5" t="str">
        <f t="shared" si="2"/>
        <v/>
      </c>
      <c r="F21" s="6" t="str">
        <f>IF(IF(OR(I20="",I20=0),"",IF(ROUND(MIN($V$2*3,$B$36-SUM($J$6:$J20)),0)&lt;0,0,ROUND(MIN($V$2*3,$B$36-SUM($J$6:$J20)),0)))&gt;0,IF(OR(I20="",I20=0),"",IF(ROUND(MIN($V$2*3,$B$36-SUM($J$6:$J20)),0)&lt;0,0,ROUND(MIN($V$2*3,$B$36-SUM($J$6:$J20)),0))),0)</f>
        <v/>
      </c>
      <c r="G21" s="6" t="str">
        <f>IF(IF(OR(F21="",F21=0),"",IF(ROUND(MIN($V$2*3,$B$36-SUM($J$6:$J20)-SUM($F21:F21)),0)&lt;0,0,ROUND(MIN($V$2*3,$B$36-SUM($J$6:$J20)-SUM($F21:F21)),0)))&gt;0,IF(OR(F21="",F21=0),"",IF(ROUND(MIN($V$2*3,$B$36-SUM($J$6:$J20)-SUM($F21:F21)),0)&lt;0,0,ROUND(MIN($V$2*3,$B$36-SUM($J$6:$J20)-SUM($F21:F21)),0))),0)</f>
        <v/>
      </c>
      <c r="H21" s="6" t="str">
        <f>IF(IF(OR(G21="",G21=0),"",IF(ROUND(MIN($V$2*3,$B$36-SUM($J$6:$J20)-SUM($F21:G21)),0)&lt;0,0,ROUND(MIN($V$2*3,$B$36-SUM($J$6:$J20)-SUM($F21:G21)),0)))&gt;0,IF(OR(G21="",G21=0),"",IF(ROUND(MIN($V$2*3,$B$36-SUM($J$6:$J20)-SUM($F21:G21)),0)&lt;0,0,ROUND(MIN($V$2*3,$B$36-SUM($J$6:$J20)-SUM($F21:G21)),0))),0)</f>
        <v/>
      </c>
      <c r="I21" s="6" t="str">
        <f>IF(IF(OR(H21="",H21=0),"",IF(ROUND(MIN($V$2*3,$B$36-SUM($J$6:$J20)-SUM($F21:H21)),0)&lt;0,0,ROUND(MIN($V$2*3,$B$36-SUM($J$6:$J20)-SUM($F21:H21)),0)))&gt;0,IF(OR(H21="",H21=0),"",IF(ROUND(MIN($V$2*3,$B$36-SUM($J$6:$J20)-SUM($F21:H21)),0)&lt;0,0,ROUND(MIN($V$2*3,$B$36-SUM($J$6:$J20)-SUM($F21:H21)),0))),0)</f>
        <v/>
      </c>
      <c r="J21" s="7" t="str">
        <f t="shared" si="1"/>
        <v/>
      </c>
      <c r="L21" s="18">
        <v>19</v>
      </c>
      <c r="M21" s="19">
        <v>3</v>
      </c>
      <c r="N21" s="19">
        <v>19</v>
      </c>
      <c r="O21" s="20">
        <v>3</v>
      </c>
      <c r="R21" s="5">
        <v>19</v>
      </c>
      <c r="S21" s="21" t="e">
        <f t="shared" si="0"/>
        <v>#VALUE!</v>
      </c>
      <c r="U21" s="104" t="s">
        <v>0</v>
      </c>
      <c r="V21" s="34" t="str">
        <f>IF(ISERROR(IF(B18&gt;V22,YEAR(V22)+2,YEAR(V22)+1)),"Please enter the correct relevant period",IF(B18&gt;V22,YEAR(V22)+2,YEAR(V22)+1))</f>
        <v>Please enter the correct relevant period</v>
      </c>
    </row>
    <row r="22" spans="1:34" ht="12" customHeight="1" thickBot="1" x14ac:dyDescent="0.3">
      <c r="A22" s="73" t="s">
        <v>28</v>
      </c>
      <c r="B22" s="79"/>
      <c r="C22" s="74"/>
      <c r="E22" s="5" t="str">
        <f t="shared" si="2"/>
        <v/>
      </c>
      <c r="F22" s="6" t="str">
        <f>IF(IF(OR(I21="",I21=0),"",IF(ROUND(MIN($V$2*3,$B$36-SUM($J$6:$J21)),0)&lt;0,0,ROUND(MIN($V$2*3,$B$36-SUM($J$6:$J21)),0)))&gt;0,IF(OR(I21="",I21=0),"",IF(ROUND(MIN($V$2*3,$B$36-SUM($J$6:$J21)),0)&lt;0,0,ROUND(MIN($V$2*3,$B$36-SUM($J$6:$J21)),0))),0)</f>
        <v/>
      </c>
      <c r="G22" s="6" t="str">
        <f>IF(IF(OR(F22="",F22=0),"",IF(ROUND(MIN($V$2*3,$B$36-SUM($J$6:$J21)-SUM($F22:F22)),0)&lt;0,0,ROUND(MIN($V$2*3,$B$36-SUM($J$6:$J21)-SUM($F22:F22)),0)))&gt;0,IF(OR(F22="",F22=0),"",IF(ROUND(MIN($V$2*3,$B$36-SUM($J$6:$J21)-SUM($F22:F22)),0)&lt;0,0,ROUND(MIN($V$2*3,$B$36-SUM($J$6:$J21)-SUM($F22:F22)),0))),0)</f>
        <v/>
      </c>
      <c r="H22" s="6" t="str">
        <f>IF(IF(OR(G22="",G22=0),"",IF(ROUND(MIN($V$2*3,$B$36-SUM($J$6:$J21)-SUM($F22:G22)),0)&lt;0,0,ROUND(MIN($V$2*3,$B$36-SUM($J$6:$J21)-SUM($F22:G22)),0)))&gt;0,IF(OR(G22="",G22=0),"",IF(ROUND(MIN($V$2*3,$B$36-SUM($J$6:$J21)-SUM($F22:G22)),0)&lt;0,0,ROUND(MIN($V$2*3,$B$36-SUM($J$6:$J21)-SUM($F22:G22)),0))),0)</f>
        <v/>
      </c>
      <c r="I22" s="6" t="str">
        <f>IF(IF(OR(H22="",H22=0),"",IF(ROUND(MIN($V$2*3,$B$36-SUM($J$6:$J21)-SUM($F22:H22)),0)&lt;0,0,ROUND(MIN($V$2*3,$B$36-SUM($J$6:$J21)-SUM($F22:H22)),0)))&gt;0,IF(OR(H22="",H22=0),"",IF(ROUND(MIN($V$2*3,$B$36-SUM($J$6:$J21)-SUM($F22:H22)),0)&lt;0,0,ROUND(MIN($V$2*3,$B$36-SUM($J$6:$J21)-SUM($F22:H22)),0))),0)</f>
        <v/>
      </c>
      <c r="J22" s="7" t="str">
        <f t="shared" si="1"/>
        <v/>
      </c>
      <c r="L22" s="18">
        <v>20</v>
      </c>
      <c r="M22" s="19">
        <v>3</v>
      </c>
      <c r="N22" s="19">
        <v>20</v>
      </c>
      <c r="O22" s="20">
        <v>2</v>
      </c>
      <c r="R22" s="5">
        <v>20</v>
      </c>
      <c r="S22" s="21" t="e">
        <f t="shared" si="0"/>
        <v>#VALUE!</v>
      </c>
      <c r="U22" s="28" t="s">
        <v>9</v>
      </c>
      <c r="V22" s="103" t="e">
        <f>DATE(YEAR($B$18),MONTH($B$13),DAY($B$13))</f>
        <v>#VALUE!</v>
      </c>
    </row>
    <row r="23" spans="1:34" ht="12" customHeight="1" x14ac:dyDescent="0.25">
      <c r="A23" s="73" t="s">
        <v>29</v>
      </c>
      <c r="B23" s="79"/>
      <c r="C23" s="74"/>
      <c r="E23" s="5" t="str">
        <f t="shared" si="2"/>
        <v/>
      </c>
      <c r="F23" s="6" t="str">
        <f>IF(IF(OR(I22="",I22=0),"",IF(ROUND(MIN($V$2*3,$B$36-SUM($J$6:$J22)),0)&lt;0,0,ROUND(MIN($V$2*3,$B$36-SUM($J$6:$J22)),0)))&gt;0,IF(OR(I22="",I22=0),"",IF(ROUND(MIN($V$2*3,$B$36-SUM($J$6:$J22)),0)&lt;0,0,ROUND(MIN($V$2*3,$B$36-SUM($J$6:$J22)),0))),0)</f>
        <v/>
      </c>
      <c r="G23" s="6" t="str">
        <f>IF(IF(OR(F23="",F23=0),"",IF(ROUND(MIN($V$2*3,$B$36-SUM($J$6:$J22)-SUM($F23:F23)),0)&lt;0,0,ROUND(MIN($V$2*3,$B$36-SUM($J$6:$J22)-SUM($F23:F23)),0)))&gt;0,IF(OR(F23="",F23=0),"",IF(ROUND(MIN($V$2*3,$B$36-SUM($J$6:$J22)-SUM($F23:F23)),0)&lt;0,0,ROUND(MIN($V$2*3,$B$36-SUM($J$6:$J22)-SUM($F23:F23)),0))),0)</f>
        <v/>
      </c>
      <c r="H23" s="6" t="str">
        <f>IF(IF(OR(G23="",G23=0),"",IF(ROUND(MIN($V$2*3,$B$36-SUM($J$6:$J22)-SUM($F23:G23)),0)&lt;0,0,ROUND(MIN($V$2*3,$B$36-SUM($J$6:$J22)-SUM($F23:G23)),0)))&gt;0,IF(OR(G23="",G23=0),"",IF(ROUND(MIN($V$2*3,$B$36-SUM($J$6:$J22)-SUM($F23:G23)),0)&lt;0,0,ROUND(MIN($V$2*3,$B$36-SUM($J$6:$J22)-SUM($F23:G23)),0))),0)</f>
        <v/>
      </c>
      <c r="I23" s="6" t="str">
        <f>IF(IF(OR(H23="",H23=0),"",IF(ROUND(MIN($V$2*3,$B$36-SUM($J$6:$J22)-SUM($F23:H23)),0)&lt;0,0,ROUND(MIN($V$2*3,$B$36-SUM($J$6:$J22)-SUM($F23:H23)),0)))&gt;0,IF(OR(H23="",H23=0),"",IF(ROUND(MIN($V$2*3,$B$36-SUM($J$6:$J22)-SUM($F23:H23)),0)&lt;0,0,ROUND(MIN($V$2*3,$B$36-SUM($J$6:$J22)-SUM($F23:H23)),0))),0)</f>
        <v/>
      </c>
      <c r="J23" s="7" t="str">
        <f t="shared" si="1"/>
        <v/>
      </c>
      <c r="L23" s="18">
        <v>21</v>
      </c>
      <c r="M23" s="19">
        <v>3</v>
      </c>
      <c r="N23" s="19">
        <v>21</v>
      </c>
      <c r="O23" s="20">
        <v>1</v>
      </c>
      <c r="R23" s="5">
        <v>21</v>
      </c>
      <c r="S23" s="21" t="e">
        <f t="shared" si="0"/>
        <v>#VALUE!</v>
      </c>
    </row>
    <row r="24" spans="1:34" ht="12" customHeight="1" thickBot="1" x14ac:dyDescent="0.3">
      <c r="A24" s="73"/>
      <c r="B24" s="58"/>
      <c r="C24" s="74"/>
      <c r="E24" s="5" t="str">
        <f t="shared" si="2"/>
        <v/>
      </c>
      <c r="F24" s="6" t="str">
        <f>IF(IF(OR(I23="",I23=0),"",IF(ROUND(MIN($V$2*3,$B$36-SUM($J$6:$J23)),0)&lt;0,0,ROUND(MIN($V$2*3,$B$36-SUM($J$6:$J23)),0)))&gt;0,IF(OR(I23="",I23=0),"",IF(ROUND(MIN($V$2*3,$B$36-SUM($J$6:$J23)),0)&lt;0,0,ROUND(MIN($V$2*3,$B$36-SUM($J$6:$J23)),0))),0)</f>
        <v/>
      </c>
      <c r="G24" s="6" t="str">
        <f>IF(IF(OR(F24="",F24=0),"",IF(ROUND(MIN($V$2*3,$B$36-SUM($J$6:$J23)-SUM($F24:F24)),0)&lt;0,0,ROUND(MIN($V$2*3,$B$36-SUM($J$6:$J23)-SUM($F24:F24)),0)))&gt;0,IF(OR(F24="",F24=0),"",IF(ROUND(MIN($V$2*3,$B$36-SUM($J$6:$J23)-SUM($F24:F24)),0)&lt;0,0,ROUND(MIN($V$2*3,$B$36-SUM($J$6:$J23)-SUM($F24:F24)),0))),0)</f>
        <v/>
      </c>
      <c r="H24" s="6" t="str">
        <f>IF(IF(OR(G24="",G24=0),"",IF(ROUND(MIN($V$2*3,$B$36-SUM($J$6:$J23)-SUM($F24:G24)),0)&lt;0,0,ROUND(MIN($V$2*3,$B$36-SUM($J$6:$J23)-SUM($F24:G24)),0)))&gt;0,IF(OR(G24="",G24=0),"",IF(ROUND(MIN($V$2*3,$B$36-SUM($J$6:$J23)-SUM($F24:G24)),0)&lt;0,0,ROUND(MIN($V$2*3,$B$36-SUM($J$6:$J23)-SUM($F24:G24)),0))),0)</f>
        <v/>
      </c>
      <c r="I24" s="6" t="str">
        <f>IF(IF(OR(H24="",H24=0),"",IF(ROUND(MIN($V$2*3,$B$36-SUM($J$6:$J23)-SUM($F24:H24)),0)&lt;0,0,ROUND(MIN($V$2*3,$B$36-SUM($J$6:$J23)-SUM($F24:H24)),0)))&gt;0,IF(OR(H24="",H24=0),"",IF(ROUND(MIN($V$2*3,$B$36-SUM($J$6:$J23)-SUM($F24:H24)),0)&lt;0,0,ROUND(MIN($V$2*3,$B$36-SUM($J$6:$J23)-SUM($F24:H24)),0))),0)</f>
        <v/>
      </c>
      <c r="J24" s="7" t="str">
        <f t="shared" si="1"/>
        <v/>
      </c>
      <c r="L24" s="18">
        <v>22</v>
      </c>
      <c r="M24" s="19">
        <v>4</v>
      </c>
      <c r="N24" s="19">
        <v>22</v>
      </c>
      <c r="O24" s="20">
        <v>3</v>
      </c>
      <c r="R24" s="5">
        <v>22</v>
      </c>
      <c r="S24" s="21" t="e">
        <f t="shared" si="0"/>
        <v>#VALUE!</v>
      </c>
      <c r="U24" s="31"/>
      <c r="W24" s="137" t="s">
        <v>10</v>
      </c>
      <c r="X24" s="137"/>
      <c r="Y24" s="137"/>
      <c r="Z24" s="137"/>
    </row>
    <row r="25" spans="1:34" x14ac:dyDescent="0.25">
      <c r="A25" s="73" t="s">
        <v>25</v>
      </c>
      <c r="B25" s="80"/>
      <c r="C25" s="74"/>
      <c r="E25" s="5" t="str">
        <f t="shared" si="2"/>
        <v/>
      </c>
      <c r="F25" s="6" t="str">
        <f>IF(IF(OR(I24="",I24=0),"",IF(ROUND(MIN($V$2*3,$B$36-SUM($J$6:$J24)),0)&lt;0,0,ROUND(MIN($V$2*3,$B$36-SUM($J$6:$J24)),0)))&gt;0,IF(OR(I24="",I24=0),"",IF(ROUND(MIN($V$2*3,$B$36-SUM($J$6:$J24)),0)&lt;0,0,ROUND(MIN($V$2*3,$B$36-SUM($J$6:$J24)),0))),0)</f>
        <v/>
      </c>
      <c r="G25" s="6" t="str">
        <f>IF(IF(OR(F25="",F25=0),"",IF(ROUND(MIN($V$2*3,$B$36-SUM($J$6:$J24)-SUM($F25:F25)),0)&lt;0,0,ROUND(MIN($V$2*3,$B$36-SUM($J$6:$J24)-SUM($F25:F25)),0)))&gt;0,IF(OR(F25="",F25=0),"",IF(ROUND(MIN($V$2*3,$B$36-SUM($J$6:$J24)-SUM($F25:F25)),0)&lt;0,0,ROUND(MIN($V$2*3,$B$36-SUM($J$6:$J24)-SUM($F25:F25)),0))),0)</f>
        <v/>
      </c>
      <c r="H25" s="6" t="str">
        <f>IF(IF(OR(G25="",G25=0),"",IF(ROUND(MIN($V$2*3,$B$36-SUM($J$6:$J24)-SUM($F25:G25)),0)&lt;0,0,ROUND(MIN($V$2*3,$B$36-SUM($J$6:$J24)-SUM($F25:G25)),0)))&gt;0,IF(OR(G25="",G25=0),"",IF(ROUND(MIN($V$2*3,$B$36-SUM($J$6:$J24)-SUM($F25:G25)),0)&lt;0,0,ROUND(MIN($V$2*3,$B$36-SUM($J$6:$J24)-SUM($F25:G25)),0))),0)</f>
        <v/>
      </c>
      <c r="I25" s="6" t="str">
        <f>IF(IF(OR(H25="",H25=0),"",IF(ROUND(MIN($V$2*3,$B$36-SUM($J$6:$J24)-SUM($F25:H25)),0)&lt;0,0,ROUND(MIN($V$2*3,$B$36-SUM($J$6:$J24)-SUM($F25:H25)),0)))&gt;0,IF(OR(H25="",H25=0),"",IF(ROUND(MIN($V$2*3,$B$36-SUM($J$6:$J24)-SUM($F25:H25)),0)&lt;0,0,ROUND(MIN($V$2*3,$B$36-SUM($J$6:$J24)-SUM($F25:H25)),0))),0)</f>
        <v/>
      </c>
      <c r="J25" s="7" t="str">
        <f t="shared" si="1"/>
        <v/>
      </c>
      <c r="L25" s="18">
        <v>23</v>
      </c>
      <c r="M25" s="19">
        <v>4</v>
      </c>
      <c r="N25" s="19">
        <v>23</v>
      </c>
      <c r="O25" s="20">
        <v>2</v>
      </c>
      <c r="R25" s="5">
        <v>23</v>
      </c>
      <c r="S25" s="21" t="e">
        <f t="shared" si="0"/>
        <v>#VALUE!</v>
      </c>
      <c r="U25" s="138" t="s">
        <v>2</v>
      </c>
      <c r="V25" s="32"/>
      <c r="W25" s="33">
        <v>2</v>
      </c>
      <c r="X25" s="33">
        <v>5</v>
      </c>
      <c r="Y25" s="33">
        <v>8</v>
      </c>
      <c r="Z25" s="34">
        <v>11</v>
      </c>
    </row>
    <row r="26" spans="1:34" ht="13.8" thickBot="1" x14ac:dyDescent="0.3">
      <c r="A26" s="73" t="s">
        <v>31</v>
      </c>
      <c r="B26" s="81"/>
      <c r="C26" s="74"/>
      <c r="E26" s="5" t="str">
        <f t="shared" si="2"/>
        <v/>
      </c>
      <c r="F26" s="6" t="str">
        <f>IF(IF(OR(I25="",I25=0),"",IF(ROUND(MIN($V$2*3,$B$36-SUM($J$6:$J25)),0)&lt;0,0,ROUND(MIN($V$2*3,$B$36-SUM($J$6:$J25)),0)))&gt;0,IF(OR(I25="",I25=0),"",IF(ROUND(MIN($V$2*3,$B$36-SUM($J$6:$J25)),0)&lt;0,0,ROUND(MIN($V$2*3,$B$36-SUM($J$6:$J25)),0))),0)</f>
        <v/>
      </c>
      <c r="G26" s="6" t="str">
        <f>IF(IF(OR(F26="",F26=0),"",IF(ROUND(MIN($V$2*3,$B$36-SUM($J$6:$J25)-SUM($F26:F26)),0)&lt;0,0,ROUND(MIN($V$2*3,$B$36-SUM($J$6:$J25)-SUM($F26:F26)),0)))&gt;0,IF(OR(F26="",F26=0),"",IF(ROUND(MIN($V$2*3,$B$36-SUM($J$6:$J25)-SUM($F26:F26)),0)&lt;0,0,ROUND(MIN($V$2*3,$B$36-SUM($J$6:$J25)-SUM($F26:F26)),0))),0)</f>
        <v/>
      </c>
      <c r="H26" s="6" t="str">
        <f>IF(IF(OR(G26="",G26=0),"",IF(ROUND(MIN($V$2*3,$B$36-SUM($J$6:$J25)-SUM($F26:G26)),0)&lt;0,0,ROUND(MIN($V$2*3,$B$36-SUM($J$6:$J25)-SUM($F26:G26)),0)))&gt;0,IF(OR(G26="",G26=0),"",IF(ROUND(MIN($V$2*3,$B$36-SUM($J$6:$J25)-SUM($F26:G26)),0)&lt;0,0,ROUND(MIN($V$2*3,$B$36-SUM($J$6:$J25)-SUM($F26:G26)),0))),0)</f>
        <v/>
      </c>
      <c r="I26" s="6" t="str">
        <f>IF(IF(OR(H26="",H26=0),"",IF(ROUND(MIN($V$2*3,$B$36-SUM($J$6:$J25)-SUM($F26:H26)),0)&lt;0,0,ROUND(MIN($V$2*3,$B$36-SUM($J$6:$J25)-SUM($F26:H26)),0)))&gt;0,IF(OR(H26="",H26=0),"",IF(ROUND(MIN($V$2*3,$B$36-SUM($J$6:$J25)-SUM($F26:H26)),0)&lt;0,0,ROUND(MIN($V$2*3,$B$36-SUM($J$6:$J25)-SUM($F26:H26)),0))),0)</f>
        <v/>
      </c>
      <c r="J26" s="7" t="str">
        <f t="shared" si="1"/>
        <v/>
      </c>
      <c r="L26" s="46">
        <v>24</v>
      </c>
      <c r="M26" s="47">
        <v>4</v>
      </c>
      <c r="N26" s="47">
        <v>24</v>
      </c>
      <c r="O26" s="48">
        <v>1</v>
      </c>
      <c r="R26" s="5">
        <v>24</v>
      </c>
      <c r="S26" s="21" t="e">
        <f t="shared" si="0"/>
        <v>#VALUE!</v>
      </c>
      <c r="U26" s="138"/>
      <c r="V26" s="5" t="e">
        <f>TEXT(MONTH(DATE(2013,MONTH(B13)+1,1)),0)</f>
        <v>#VALUE!</v>
      </c>
      <c r="W26" s="35">
        <f>IF(INDEX($F$6:$I$35,MATCH($B$45,$E$6:$E$35,0),1)="",0,INDEX($F$6:$I$35,MATCH($B$45,$E$6:$E$35,0),1))</f>
        <v>0</v>
      </c>
      <c r="X26" s="35">
        <f>IF(INDEX($F$6:$I$35,MATCH($B$45,$E$6:$E$35,0),1)="",0,INDEX($F$6:$I$35,MATCH($B$45,$E$6:$E$35,0),1))+IF(INDEX($F$6:$I$35,MATCH($B$45,$E$6:$E$35,0),2)="",0,INDEX($F$6:$I$35,MATCH($B$45,$E$6:$E$35,0),2))</f>
        <v>0</v>
      </c>
      <c r="Y26" s="126">
        <f>IF(INDEX($F$6:$I$35,MATCH($B$45,$E$6:$E$35,0),1)="",0,INDEX($F$6:$I$35,MATCH($B$45,$E$6:$E$35,0),1))+IF(INDEX($F$6:$I$35,MATCH($B$45,$E$6:$E$35,0),2)="",0,INDEX($F$6:$I$35,MATCH($B$45,$E$6:$E$35,0),2))+IF(INDEX($F$6:$I$35,MATCH($B$45,$E$6:$E$35,0),3)="",0,INDEX($F$6:$I$35,MATCH($B$45,$E$6:$E$35,0),3))</f>
        <v>0</v>
      </c>
      <c r="Z26" s="36">
        <f>IF(INDEX($F$6:$I$35,MATCH($B$45,$E$6:$E$35,0),1)="",0,INDEX($F$6:$I$35,MATCH($B$45,$E$6:$E$35,0),1))+IF(INDEX($F$6:$I$35,MATCH($B$45,$E$6:$E$35,0),2)="",0,INDEX($F$6:$I$35,MATCH($B$45,$E$6:$E$35,0),2))+IF(INDEX($F$6:$I$35,MATCH($B$45,$E$6:$E$35,0),3)="",0,INDEX($F$6:$I$35,MATCH($B$45,$E$6:$E$35,0),3))+IF(INDEX($F$6:$I$35,MATCH($B$45,$E$6:$E$35,0),4)="",0,INDEX($F$6:$I$35,MATCH($B$45,$E$6:$E$35,0),4))</f>
        <v>0</v>
      </c>
    </row>
    <row r="27" spans="1:34" ht="13.8" thickBot="1" x14ac:dyDescent="0.3">
      <c r="A27" s="73" t="s">
        <v>33</v>
      </c>
      <c r="B27" s="82">
        <f>SUM(B25:B26)</f>
        <v>0</v>
      </c>
      <c r="C27" s="74"/>
      <c r="E27" s="5" t="str">
        <f t="shared" si="2"/>
        <v/>
      </c>
      <c r="F27" s="6" t="str">
        <f>IF(IF(OR(I26="",I26=0),"",IF(ROUND(MIN($V$2*3,$B$36-SUM($J$6:$J26)),0)&lt;0,0,ROUND(MIN($V$2*3,$B$36-SUM($J$6:$J26)),0)))&gt;0,IF(OR(I26="",I26=0),"",IF(ROUND(MIN($V$2*3,$B$36-SUM($J$6:$J26)),0)&lt;0,0,ROUND(MIN($V$2*3,$B$36-SUM($J$6:$J26)),0))),0)</f>
        <v/>
      </c>
      <c r="G27" s="6" t="str">
        <f>IF(IF(OR(F27="",F27=0),"",IF(ROUND(MIN($V$2*3,$B$36-SUM($J$6:$J26)-SUM($F27:F27)),0)&lt;0,0,ROUND(MIN($V$2*3,$B$36-SUM($J$6:$J26)-SUM($F27:F27)),0)))&gt;0,IF(OR(F27="",F27=0),"",IF(ROUND(MIN($V$2*3,$B$36-SUM($J$6:$J26)-SUM($F27:F27)),0)&lt;0,0,ROUND(MIN($V$2*3,$B$36-SUM($J$6:$J26)-SUM($F27:F27)),0))),0)</f>
        <v/>
      </c>
      <c r="H27" s="6" t="str">
        <f>IF(IF(OR(G27="",G27=0),"",IF(ROUND(MIN($V$2*3,$B$36-SUM($J$6:$J26)-SUM($F27:G27)),0)&lt;0,0,ROUND(MIN($V$2*3,$B$36-SUM($J$6:$J26)-SUM($F27:G27)),0)))&gt;0,IF(OR(G27="",G27=0),"",IF(ROUND(MIN($V$2*3,$B$36-SUM($J$6:$J26)-SUM($F27:G27)),0)&lt;0,0,ROUND(MIN($V$2*3,$B$36-SUM($J$6:$J26)-SUM($F27:G27)),0))),0)</f>
        <v/>
      </c>
      <c r="I27" s="6" t="str">
        <f>IF(IF(OR(H27="",H27=0),"",IF(ROUND(MIN($V$2*3,$B$36-SUM($J$6:$J26)-SUM($F27:H27)),0)&lt;0,0,ROUND(MIN($V$2*3,$B$36-SUM($J$6:$J26)-SUM($F27:H27)),0)))&gt;0,IF(OR(H27="",H27=0),"",IF(ROUND(MIN($V$2*3,$B$36-SUM($J$6:$J26)-SUM($F27:H27)),0)&lt;0,0,ROUND(MIN($V$2*3,$B$36-SUM($J$6:$J26)-SUM($F27:H27)),0))),0)</f>
        <v/>
      </c>
      <c r="J27" s="7" t="str">
        <f t="shared" si="1"/>
        <v/>
      </c>
      <c r="R27" s="5">
        <v>25</v>
      </c>
      <c r="S27" s="21" t="e">
        <f t="shared" si="0"/>
        <v>#VALUE!</v>
      </c>
      <c r="U27" s="138"/>
      <c r="V27" s="5" t="e">
        <f>TEXT(MONTH(DATE(2013,MONTH(B13)+4,1)),0)</f>
        <v>#VALUE!</v>
      </c>
      <c r="W27" s="35">
        <f>IF(INDEX($F$6:$I$35,MATCH($B$45,$E$6:$E$35,0),2)="",0,INDEX($F$6:$I$35,MATCH($B$45,$E$6:$E$35,0),2))</f>
        <v>0</v>
      </c>
      <c r="X27" s="35">
        <f>IF(INDEX($F$6:$I$35,MATCH($B$45,$E$6:$E$35,0),2)="",0,INDEX($F$6:$I$35,MATCH($B$45,$E$6:$E$35,0),2))+IF(INDEX($F$6:$I$35,MATCH($B$45,$E$6:$E$35,0),3)="",0,INDEX($F$6:$I$35,MATCH($B$45,$E$6:$E$35,0),3))</f>
        <v>0</v>
      </c>
      <c r="Y27" s="35">
        <f>IF(INDEX($F$6:$I$35,MATCH($B$45,$E$6:$E$35,0),2)="",0,INDEX($F$6:$I$35,MATCH($B$45,$E$6:$E$35,0),2))+IF(INDEX($F$6:$I$35,MATCH($B$45,$E$6:$E$35,0),3)="",0,INDEX($F$6:$I$35,MATCH($B$45,$E$6:$E$35,0),3))+IF(INDEX($F$6:$I$35,MATCH($B$45,$E$6:$E$35,0),4)="",0,INDEX($F$6:$I$35,MATCH($B$45,$E$6:$E$35,0),4))</f>
        <v>0</v>
      </c>
      <c r="Z27" s="37" t="s">
        <v>8</v>
      </c>
    </row>
    <row r="28" spans="1:34" x14ac:dyDescent="0.25">
      <c r="A28" s="73"/>
      <c r="B28" s="58"/>
      <c r="C28" s="74"/>
      <c r="E28" s="5" t="str">
        <f t="shared" si="2"/>
        <v/>
      </c>
      <c r="F28" s="6" t="str">
        <f>IF(IF(OR(I27="",I27=0),"",IF(ROUND(MIN($V$2*3,$B$36-SUM($J$6:$J27)),0)&lt;0,0,ROUND(MIN($V$2*3,$B$36-SUM($J$6:$J27)),0)))&gt;0,IF(OR(I27="",I27=0),"",IF(ROUND(MIN($V$2*3,$B$36-SUM($J$6:$J27)),0)&lt;0,0,ROUND(MIN($V$2*3,$B$36-SUM($J$6:$J27)),0))),0)</f>
        <v/>
      </c>
      <c r="G28" s="6" t="str">
        <f>IF(IF(OR(F28="",F28=0),"",IF(ROUND(MIN($V$2*3,$B$36-SUM($J$6:$J27)-SUM($F28:F28)),0)&lt;0,0,ROUND(MIN($V$2*3,$B$36-SUM($J$6:$J27)-SUM($F28:F28)),0)))&gt;0,IF(OR(F28="",F28=0),"",IF(ROUND(MIN($V$2*3,$B$36-SUM($J$6:$J27)-SUM($F28:F28)),0)&lt;0,0,ROUND(MIN($V$2*3,$B$36-SUM($J$6:$J27)-SUM($F28:F28)),0))),0)</f>
        <v/>
      </c>
      <c r="H28" s="6" t="str">
        <f>IF(IF(OR(G28="",G28=0),"",IF(ROUND(MIN($V$2*3,$B$36-SUM($J$6:$J27)-SUM($F28:G28)),0)&lt;0,0,ROUND(MIN($V$2*3,$B$36-SUM($J$6:$J27)-SUM($F28:G28)),0)))&gt;0,IF(OR(G28="",G28=0),"",IF(ROUND(MIN($V$2*3,$B$36-SUM($J$6:$J27)-SUM($F28:G28)),0)&lt;0,0,ROUND(MIN($V$2*3,$B$36-SUM($J$6:$J27)-SUM($F28:G28)),0))),0)</f>
        <v/>
      </c>
      <c r="I28" s="6" t="str">
        <f>IF(IF(OR(H28="",H28=0),"",IF(ROUND(MIN($V$2*3,$B$36-SUM($J$6:$J27)-SUM($F28:H28)),0)&lt;0,0,ROUND(MIN($V$2*3,$B$36-SUM($J$6:$J27)-SUM($F28:H28)),0)))&gt;0,IF(OR(H28="",H28=0),"",IF(ROUND(MIN($V$2*3,$B$36-SUM($J$6:$J27)-SUM($F28:H28)),0)&lt;0,0,ROUND(MIN($V$2*3,$B$36-SUM($J$6:$J27)-SUM($F28:H28)),0))),0)</f>
        <v/>
      </c>
      <c r="J28" s="7" t="str">
        <f t="shared" si="1"/>
        <v/>
      </c>
      <c r="L28" s="16" t="s">
        <v>2</v>
      </c>
      <c r="M28" s="49">
        <v>1</v>
      </c>
      <c r="N28" s="49">
        <v>2</v>
      </c>
      <c r="O28" s="49">
        <v>3</v>
      </c>
      <c r="P28" s="26">
        <v>4</v>
      </c>
      <c r="Q28" s="50"/>
      <c r="R28" s="5">
        <v>26</v>
      </c>
      <c r="S28" s="21" t="e">
        <f t="shared" si="0"/>
        <v>#VALUE!</v>
      </c>
      <c r="U28" s="138"/>
      <c r="V28" s="5" t="e">
        <f>TEXT(MONTH(DATE(2013,MONTH(B13)+7,1)),0)</f>
        <v>#VALUE!</v>
      </c>
      <c r="W28" s="35">
        <f>IF(INDEX($F$6:$I$35,MATCH($B$45,$E$6:$E$35,0),3)="",0,INDEX($F$6:$I$35,MATCH($B$45,$E$6:$E$35,0),3))</f>
        <v>0</v>
      </c>
      <c r="X28" s="35">
        <f>IF(INDEX($F$6:$I$35,MATCH($B$45,$E$6:$E$35,0),3)="",0,INDEX($F$6:$I$35,MATCH($B$45,$E$6:$E$35,0),3))+IF(INDEX($F$6:$I$35,MATCH($B$45,$E$6:$E$35,0),4)="",0,INDEX($F$6:$I$35,MATCH($B$45,$E$6:$E$35,0),4))</f>
        <v>0</v>
      </c>
      <c r="Y28" s="38" t="s">
        <v>8</v>
      </c>
      <c r="Z28" s="37" t="s">
        <v>8</v>
      </c>
    </row>
    <row r="29" spans="1:34" ht="12" customHeight="1" thickBot="1" x14ac:dyDescent="0.3">
      <c r="A29" s="73" t="s">
        <v>32</v>
      </c>
      <c r="B29" s="80"/>
      <c r="C29" s="74"/>
      <c r="E29" s="5" t="str">
        <f t="shared" si="2"/>
        <v/>
      </c>
      <c r="F29" s="6" t="str">
        <f>IF(IF(OR(I28="",I28=0),"",IF(ROUND(MIN($V$2*3,$B$36-SUM($J$6:$J28)),0)&lt;0,0,ROUND(MIN($V$2*3,$B$36-SUM($J$6:$J28)),0)))&gt;0,IF(OR(I28="",I28=0),"",IF(ROUND(MIN($V$2*3,$B$36-SUM($J$6:$J28)),0)&lt;0,0,ROUND(MIN($V$2*3,$B$36-SUM($J$6:$J28)),0))),0)</f>
        <v/>
      </c>
      <c r="G29" s="6" t="str">
        <f>IF(IF(OR(F29="",F29=0),"",IF(ROUND(MIN($V$2*3,$B$36-SUM($J$6:$J28)-SUM($F29:F29)),0)&lt;0,0,ROUND(MIN($V$2*3,$B$36-SUM($J$6:$J28)-SUM($F29:F29)),0)))&gt;0,IF(OR(F29="",F29=0),"",IF(ROUND(MIN($V$2*3,$B$36-SUM($J$6:$J28)-SUM($F29:F29)),0)&lt;0,0,ROUND(MIN($V$2*3,$B$36-SUM($J$6:$J28)-SUM($F29:F29)),0))),0)</f>
        <v/>
      </c>
      <c r="H29" s="6" t="str">
        <f>IF(IF(OR(G29="",G29=0),"",IF(ROUND(MIN($V$2*3,$B$36-SUM($J$6:$J28)-SUM($F29:G29)),0)&lt;0,0,ROUND(MIN($V$2*3,$B$36-SUM($J$6:$J28)-SUM($F29:G29)),0)))&gt;0,IF(OR(G29="",G29=0),"",IF(ROUND(MIN($V$2*3,$B$36-SUM($J$6:$J28)-SUM($F29:G29)),0)&lt;0,0,ROUND(MIN($V$2*3,$B$36-SUM($J$6:$J28)-SUM($F29:G29)),0))),0)</f>
        <v/>
      </c>
      <c r="I29" s="6" t="str">
        <f>IF(IF(OR(H29="",H29=0),"",IF(ROUND(MIN($V$2*3,$B$36-SUM($J$6:$J28)-SUM($F29:H29)),0)&lt;0,0,ROUND(MIN($V$2*3,$B$36-SUM($J$6:$J28)-SUM($F29:H29)),0)))&gt;0,IF(OR(H29="",H29=0),"",IF(ROUND(MIN($V$2*3,$B$36-SUM($J$6:$J28)-SUM($F29:H29)),0)&lt;0,0,ROUND(MIN($V$2*3,$B$36-SUM($J$6:$J28)-SUM($F29:H29)),0))),0)</f>
        <v/>
      </c>
      <c r="J29" s="7" t="str">
        <f t="shared" si="1"/>
        <v/>
      </c>
      <c r="L29" s="24" t="s">
        <v>5</v>
      </c>
      <c r="M29" s="51" t="e">
        <f>IF($V$8&lt;&gt;M28,"",LOOKUP($V$7,$N$3:$N$26,$O$3:$O$26))</f>
        <v>#VALUE!</v>
      </c>
      <c r="N29" s="51" t="e">
        <f>IF($V$8&lt;&gt;N28,"",LOOKUP($V$7,$N$3:$N$26,$O$3:$O$26))</f>
        <v>#VALUE!</v>
      </c>
      <c r="O29" s="51" t="e">
        <f>IF($V$8&lt;&gt;O28,"",LOOKUP($V$7,$N$3:$N$26,$O$3:$O$26))</f>
        <v>#VALUE!</v>
      </c>
      <c r="P29" s="52" t="e">
        <f>IF($V$8&lt;&gt;P28,"",LOOKUP($V$7,$N$3:$N$26,$O$3:$O$26))</f>
        <v>#VALUE!</v>
      </c>
      <c r="Q29" s="27"/>
      <c r="R29" s="5">
        <v>27</v>
      </c>
      <c r="S29" s="21" t="e">
        <f t="shared" si="0"/>
        <v>#VALUE!</v>
      </c>
      <c r="U29" s="138"/>
      <c r="V29" s="10" t="e">
        <f>TEXT(MONTH(DATE(2013,MONTH(B13)+10,1)),0)</f>
        <v>#VALUE!</v>
      </c>
      <c r="W29" s="39">
        <f>IF(INDEX($F$6:$I$35,MATCH($B$45,$E$6:$E$35,0),4)="",0,INDEX($F$6:$I$35,MATCH($B$45,$E$6:$E$35,0),4))</f>
        <v>0</v>
      </c>
      <c r="X29" s="40" t="s">
        <v>8</v>
      </c>
      <c r="Y29" s="40" t="s">
        <v>8</v>
      </c>
      <c r="Z29" s="41" t="s">
        <v>8</v>
      </c>
    </row>
    <row r="30" spans="1:34" ht="12" customHeight="1" thickBot="1" x14ac:dyDescent="0.3">
      <c r="A30" s="73" t="s">
        <v>18</v>
      </c>
      <c r="B30" s="79"/>
      <c r="C30" s="74"/>
      <c r="E30" s="5" t="str">
        <f t="shared" si="2"/>
        <v/>
      </c>
      <c r="F30" s="6" t="str">
        <f>IF(IF(OR(I29="",I29=0),"",IF(ROUND(MIN($V$2*3,$B$36-SUM($J$6:$J29)),0)&lt;0,0,ROUND(MIN($V$2*3,$B$36-SUM($J$6:$J29)),0)))&gt;0,IF(OR(I29="",I29=0),"",IF(ROUND(MIN($V$2*3,$B$36-SUM($J$6:$J29)),0)&lt;0,0,ROUND(MIN($V$2*3,$B$36-SUM($J$6:$J29)),0))),0)</f>
        <v/>
      </c>
      <c r="G30" s="6" t="str">
        <f>IF(IF(OR(F30="",F30=0),"",IF(ROUND(MIN($V$2*3,$B$36-SUM($J$6:$J29)-SUM($F30:F30)),0)&lt;0,0,ROUND(MIN($V$2*3,$B$36-SUM($J$6:$J29)-SUM($F30:F30)),0)))&gt;0,IF(OR(F30="",F30=0),"",IF(ROUND(MIN($V$2*3,$B$36-SUM($J$6:$J29)-SUM($F30:F30)),0)&lt;0,0,ROUND(MIN($V$2*3,$B$36-SUM($J$6:$J29)-SUM($F30:F30)),0))),0)</f>
        <v/>
      </c>
      <c r="H30" s="6" t="str">
        <f>IF(IF(OR(G30="",G30=0),"",IF(ROUND(MIN($V$2*3,$B$36-SUM($J$6:$J29)-SUM($F30:G30)),0)&lt;0,0,ROUND(MIN($V$2*3,$B$36-SUM($J$6:$J29)-SUM($F30:G30)),0)))&gt;0,IF(OR(G30="",G30=0),"",IF(ROUND(MIN($V$2*3,$B$36-SUM($J$6:$J29)-SUM($F30:G30)),0)&lt;0,0,ROUND(MIN($V$2*3,$B$36-SUM($J$6:$J29)-SUM($F30:G30)),0))),0)</f>
        <v/>
      </c>
      <c r="I30" s="6" t="str">
        <f>IF(IF(OR(H30="",H30=0),"",IF(ROUND(MIN($V$2*3,$B$36-SUM($J$6:$J29)-SUM($F30:H30)),0)&lt;0,0,ROUND(MIN($V$2*3,$B$36-SUM($J$6:$J29)-SUM($F30:H30)),0)))&gt;0,IF(OR(H30="",H30=0),"",IF(ROUND(MIN($V$2*3,$B$36-SUM($J$6:$J29)-SUM($F30:H30)),0)&lt;0,0,ROUND(MIN($V$2*3,$B$36-SUM($J$6:$J29)-SUM($F30:H30)),0))),0)</f>
        <v/>
      </c>
      <c r="J30" s="7" t="str">
        <f t="shared" si="1"/>
        <v/>
      </c>
      <c r="R30" s="5">
        <v>28</v>
      </c>
      <c r="S30" s="21" t="e">
        <f t="shared" si="0"/>
        <v>#VALUE!</v>
      </c>
    </row>
    <row r="31" spans="1:34" x14ac:dyDescent="0.25">
      <c r="A31" s="73"/>
      <c r="B31" s="58"/>
      <c r="C31" s="74"/>
      <c r="E31" s="5" t="str">
        <f t="shared" si="2"/>
        <v/>
      </c>
      <c r="F31" s="6" t="str">
        <f>IF(IF(OR(I30="",I30=0),"",IF(ROUND(MIN($V$2*3,$B$36-SUM($J$6:$J30)),0)&lt;0,0,ROUND(MIN($V$2*3,$B$36-SUM($J$6:$J30)),0)))&gt;0,IF(OR(I30="",I30=0),"",IF(ROUND(MIN($V$2*3,$B$36-SUM($J$6:$J30)),0)&lt;0,0,ROUND(MIN($V$2*3,$B$36-SUM($J$6:$J30)),0))),0)</f>
        <v/>
      </c>
      <c r="G31" s="6" t="str">
        <f>IF(IF(OR(F31="",F31=0),"",IF(ROUND(MIN($V$2*3,$B$36-SUM($J$6:$J30)-SUM($F31:F31)),0)&lt;0,0,ROUND(MIN($V$2*3,$B$36-SUM($J$6:$J30)-SUM($F31:F31)),0)))&gt;0,IF(OR(F31="",F31=0),"",IF(ROUND(MIN($V$2*3,$B$36-SUM($J$6:$J30)-SUM($F31:F31)),0)&lt;0,0,ROUND(MIN($V$2*3,$B$36-SUM($J$6:$J30)-SUM($F31:F31)),0))),0)</f>
        <v/>
      </c>
      <c r="H31" s="6" t="str">
        <f>IF(IF(OR(G31="",G31=0),"",IF(ROUND(MIN($V$2*3,$B$36-SUM($J$6:$J30)-SUM($F31:G31)),0)&lt;0,0,ROUND(MIN($V$2*3,$B$36-SUM($J$6:$J30)-SUM($F31:G31)),0)))&gt;0,IF(OR(G31="",G31=0),"",IF(ROUND(MIN($V$2*3,$B$36-SUM($J$6:$J30)-SUM($F31:G31)),0)&lt;0,0,ROUND(MIN($V$2*3,$B$36-SUM($J$6:$J30)-SUM($F31:G31)),0))),0)</f>
        <v/>
      </c>
      <c r="I31" s="6" t="str">
        <f>IF(IF(OR(H31="",H31=0),"",IF(ROUND(MIN($V$2*3,$B$36-SUM($J$6:$J30)-SUM($F31:H31)),0)&lt;0,0,ROUND(MIN($V$2*3,$B$36-SUM($J$6:$J30)-SUM($F31:H31)),0)))&gt;0,IF(OR(H31="",H31=0),"",IF(ROUND(MIN($V$2*3,$B$36-SUM($J$6:$J30)-SUM($F31:H31)),0)&lt;0,0,ROUND(MIN($V$2*3,$B$36-SUM($J$6:$J30)-SUM($F31:H31)),0))),0)</f>
        <v/>
      </c>
      <c r="J31" s="7" t="str">
        <f t="shared" si="1"/>
        <v/>
      </c>
      <c r="R31" s="5">
        <v>29</v>
      </c>
      <c r="S31" s="21" t="e">
        <f t="shared" si="0"/>
        <v>#VALUE!</v>
      </c>
      <c r="V31" s="32"/>
      <c r="W31" s="42">
        <v>41305</v>
      </c>
      <c r="X31" s="42">
        <v>41333</v>
      </c>
      <c r="Y31" s="42">
        <v>41364</v>
      </c>
      <c r="Z31" s="42">
        <v>41394</v>
      </c>
      <c r="AA31" s="42">
        <v>41425</v>
      </c>
      <c r="AB31" s="42">
        <v>41455</v>
      </c>
      <c r="AC31" s="42">
        <v>41486</v>
      </c>
      <c r="AD31" s="42">
        <v>41517</v>
      </c>
      <c r="AE31" s="42">
        <v>41547</v>
      </c>
      <c r="AF31" s="42">
        <v>41578</v>
      </c>
      <c r="AG31" s="42">
        <v>41608</v>
      </c>
      <c r="AH31" s="43">
        <v>41639</v>
      </c>
    </row>
    <row r="32" spans="1:34" x14ac:dyDescent="0.25">
      <c r="A32" s="128" t="s">
        <v>91</v>
      </c>
      <c r="B32" s="81"/>
      <c r="C32" s="74"/>
      <c r="E32" s="5" t="str">
        <f t="shared" si="2"/>
        <v/>
      </c>
      <c r="F32" s="6" t="str">
        <f>IF(IF(OR(I31="",I31=0),"",IF(ROUND(MIN($V$2*3,$B$36-SUM($J$6:$J31)),0)&lt;0,0,ROUND(MIN($V$2*3,$B$36-SUM($J$6:$J31)),0)))&gt;0,IF(OR(I31="",I31=0),"",IF(ROUND(MIN($V$2*3,$B$36-SUM($J$6:$J31)),0)&lt;0,0,ROUND(MIN($V$2*3,$B$36-SUM($J$6:$J31)),0))),0)</f>
        <v/>
      </c>
      <c r="G32" s="6" t="str">
        <f>IF(IF(OR(F32="",F32=0),"",IF(ROUND(MIN($V$2*3,$B$36-SUM($J$6:$J31)-SUM($F32:F32)),0)&lt;0,0,ROUND(MIN($V$2*3,$B$36-SUM($J$6:$J31)-SUM($F32:F32)),0)))&gt;0,IF(OR(F32="",F32=0),"",IF(ROUND(MIN($V$2*3,$B$36-SUM($J$6:$J31)-SUM($F32:F32)),0)&lt;0,0,ROUND(MIN($V$2*3,$B$36-SUM($J$6:$J31)-SUM($F32:F32)),0))),0)</f>
        <v/>
      </c>
      <c r="H32" s="6" t="str">
        <f>IF(IF(OR(G32="",G32=0),"",IF(ROUND(MIN($V$2*3,$B$36-SUM($J$6:$J31)-SUM($F32:G32)),0)&lt;0,0,ROUND(MIN($V$2*3,$B$36-SUM($J$6:$J31)-SUM($F32:G32)),0)))&gt;0,IF(OR(G32="",G32=0),"",IF(ROUND(MIN($V$2*3,$B$36-SUM($J$6:$J31)-SUM($F32:G32)),0)&lt;0,0,ROUND(MIN($V$2*3,$B$36-SUM($J$6:$J31)-SUM($F32:G32)),0))),0)</f>
        <v/>
      </c>
      <c r="I32" s="6" t="str">
        <f>IF(IF(OR(H32="",H32=0),"",IF(ROUND(MIN($V$2*3,$B$36-SUM($J$6:$J31)-SUM($F32:H32)),0)&lt;0,0,ROUND(MIN($V$2*3,$B$36-SUM($J$6:$J31)-SUM($F32:H32)),0)))&gt;0,IF(OR(H32="",H32=0),"",IF(ROUND(MIN($V$2*3,$B$36-SUM($J$6:$J31)-SUM($F32:H32)),0)&lt;0,0,ROUND(MIN($V$2*3,$B$36-SUM($J$6:$J31)-SUM($F32:H32)),0))),0)</f>
        <v/>
      </c>
      <c r="J32" s="7" t="str">
        <f t="shared" si="1"/>
        <v/>
      </c>
      <c r="R32" s="5">
        <v>30</v>
      </c>
      <c r="S32" s="21" t="e">
        <f t="shared" si="0"/>
        <v>#VALUE!</v>
      </c>
      <c r="V32" s="44">
        <v>1</v>
      </c>
      <c r="W32" s="38">
        <v>1</v>
      </c>
      <c r="X32" s="38">
        <v>1</v>
      </c>
      <c r="Y32" s="38">
        <v>1</v>
      </c>
      <c r="Z32" s="38">
        <v>1</v>
      </c>
      <c r="AA32" s="38">
        <v>1</v>
      </c>
      <c r="AB32" s="38">
        <v>1</v>
      </c>
      <c r="AC32" s="38">
        <v>1</v>
      </c>
      <c r="AD32" s="38">
        <v>1</v>
      </c>
      <c r="AE32" s="38">
        <v>1</v>
      </c>
      <c r="AF32" s="38">
        <v>1</v>
      </c>
      <c r="AG32" s="38">
        <v>1</v>
      </c>
      <c r="AH32" s="37">
        <v>1</v>
      </c>
    </row>
    <row r="33" spans="1:34" ht="13.8" thickBot="1" x14ac:dyDescent="0.3">
      <c r="A33" s="73" t="s">
        <v>19</v>
      </c>
      <c r="B33" s="109">
        <f>'HP Equipment 1'!B33</f>
        <v>0</v>
      </c>
      <c r="C33" s="74"/>
      <c r="E33" s="5" t="str">
        <f t="shared" si="2"/>
        <v/>
      </c>
      <c r="F33" s="6" t="str">
        <f>IF(IF(OR(I32="",I32=0),"",IF(ROUND(MIN($V$2*3,$B$36-SUM($J$6:$J32)),0)&lt;0,0,ROUND(MIN($V$2*3,$B$36-SUM($J$6:$J32)),0)))&gt;0,IF(OR(I32="",I32=0),"",IF(ROUND(MIN($V$2*3,$B$36-SUM($J$6:$J32)),0)&lt;0,0,ROUND(MIN($V$2*3,$B$36-SUM($J$6:$J32)),0))),0)</f>
        <v/>
      </c>
      <c r="G33" s="6" t="str">
        <f>IF(IF(OR(F33="",F33=0),"",IF(ROUND(MIN($V$2*3,$B$36-SUM($J$6:$J32)-SUM($F33:F33)),0)&lt;0,0,ROUND(MIN($V$2*3,$B$36-SUM($J$6:$J32)-SUM($F33:F33)),0)))&gt;0,IF(OR(F33="",F33=0),"",IF(ROUND(MIN($V$2*3,$B$36-SUM($J$6:$J32)-SUM($F33:F33)),0)&lt;0,0,ROUND(MIN($V$2*3,$B$36-SUM($J$6:$J32)-SUM($F33:F33)),0))),0)</f>
        <v/>
      </c>
      <c r="H33" s="6" t="str">
        <f>IF(IF(OR(G33="",G33=0),"",IF(ROUND(MIN($V$2*3,$B$36-SUM($J$6:$J32)-SUM($F33:G33)),0)&lt;0,0,ROUND(MIN($V$2*3,$B$36-SUM($J$6:$J32)-SUM($F33:G33)),0)))&gt;0,IF(OR(G33="",G33=0),"",IF(ROUND(MIN($V$2*3,$B$36-SUM($J$6:$J32)-SUM($F33:G33)),0)&lt;0,0,ROUND(MIN($V$2*3,$B$36-SUM($J$6:$J32)-SUM($F33:G33)),0))),0)</f>
        <v/>
      </c>
      <c r="I33" s="6" t="str">
        <f>IF(IF(OR(H33="",H33=0),"",IF(ROUND(MIN($V$2*3,$B$36-SUM($J$6:$J32)-SUM($F33:H33)),0)&lt;0,0,ROUND(MIN($V$2*3,$B$36-SUM($J$6:$J32)-SUM($F33:H33)),0)))&gt;0,IF(OR(H33="",H33=0),"",IF(ROUND(MIN($V$2*3,$B$36-SUM($J$6:$J32)-SUM($F33:H33)),0)&lt;0,0,ROUND(MIN($V$2*3,$B$36-SUM($J$6:$J32)-SUM($F33:H33)),0))),0)</f>
        <v/>
      </c>
      <c r="J33" s="7" t="str">
        <f t="shared" si="1"/>
        <v/>
      </c>
      <c r="R33" s="46">
        <v>31</v>
      </c>
      <c r="S33" s="48" t="e">
        <f t="shared" si="0"/>
        <v>#VALUE!</v>
      </c>
      <c r="V33" s="44">
        <v>2</v>
      </c>
      <c r="W33" s="38">
        <v>2</v>
      </c>
      <c r="X33" s="38">
        <v>1</v>
      </c>
      <c r="Y33" s="38">
        <v>1</v>
      </c>
      <c r="Z33" s="38">
        <v>1</v>
      </c>
      <c r="AA33" s="38">
        <v>1</v>
      </c>
      <c r="AB33" s="38">
        <v>1</v>
      </c>
      <c r="AC33" s="38">
        <v>1</v>
      </c>
      <c r="AD33" s="38">
        <v>1</v>
      </c>
      <c r="AE33" s="38">
        <v>1</v>
      </c>
      <c r="AF33" s="38">
        <v>1</v>
      </c>
      <c r="AG33" s="38">
        <v>1</v>
      </c>
      <c r="AH33" s="37">
        <v>1</v>
      </c>
    </row>
    <row r="34" spans="1:34" ht="13.8" thickBot="1" x14ac:dyDescent="0.3">
      <c r="A34" s="73" t="s">
        <v>37</v>
      </c>
      <c r="B34" s="83">
        <f>'HP Equipment 1'!B35+'HP Equipment 2'!B36+'HP Equipment 3'!B36</f>
        <v>0</v>
      </c>
      <c r="C34" s="74"/>
      <c r="E34" s="5" t="str">
        <f t="shared" si="2"/>
        <v/>
      </c>
      <c r="F34" s="6" t="str">
        <f>IF(IF(OR(I33="",I33=0),"",IF(ROUND(MIN($V$2*3,$B$36-SUM($J$6:$J33)),0)&lt;0,0,ROUND(MIN($V$2*3,$B$36-SUM($J$6:$J33)),0)))&gt;0,IF(OR(I33="",I33=0),"",IF(ROUND(MIN($V$2*3,$B$36-SUM($J$6:$J33)),0)&lt;0,0,ROUND(MIN($V$2*3,$B$36-SUM($J$6:$J33)),0))),0)</f>
        <v/>
      </c>
      <c r="G34" s="6" t="str">
        <f>IF(IF(OR(F34="",F34=0),"",IF(ROUND(MIN($V$2*3,$B$36-SUM($J$6:$J33)-SUM($F34:F34)),0)&lt;0,0,ROUND(MIN($V$2*3,$B$36-SUM($J$6:$J33)-SUM($F34:F34)),0)))&gt;0,IF(OR(F34="",F34=0),"",IF(ROUND(MIN($V$2*3,$B$36-SUM($J$6:$J33)-SUM($F34:F34)),0)&lt;0,0,ROUND(MIN($V$2*3,$B$36-SUM($J$6:$J33)-SUM($F34:F34)),0))),0)</f>
        <v/>
      </c>
      <c r="H34" s="6" t="str">
        <f>IF(IF(OR(G34="",G34=0),"",IF(ROUND(MIN($V$2*3,$B$36-SUM($J$6:$J33)-SUM($F34:G34)),0)&lt;0,0,ROUND(MIN($V$2*3,$B$36-SUM($J$6:$J33)-SUM($F34:G34)),0)))&gt;0,IF(OR(G34="",G34=0),"",IF(ROUND(MIN($V$2*3,$B$36-SUM($J$6:$J33)-SUM($F34:G34)),0)&lt;0,0,ROUND(MIN($V$2*3,$B$36-SUM($J$6:$J33)-SUM($F34:G34)),0))),0)</f>
        <v/>
      </c>
      <c r="I34" s="6" t="str">
        <f>IF(IF(OR(H34="",H34=0),"",IF(ROUND(MIN($V$2*3,$B$36-SUM($J$6:$J33)-SUM($F34:H34)),0)&lt;0,0,ROUND(MIN($V$2*3,$B$36-SUM($J$6:$J33)-SUM($F34:H34)),0)))&gt;0,IF(OR(H34="",H34=0),"",IF(ROUND(MIN($V$2*3,$B$36-SUM($J$6:$J33)-SUM($F34:H34)),0)&lt;0,0,ROUND(MIN($V$2*3,$B$36-SUM($J$6:$J33)-SUM($F34:H34)),0))),0)</f>
        <v/>
      </c>
      <c r="J34" s="7" t="str">
        <f t="shared" si="1"/>
        <v/>
      </c>
      <c r="V34" s="44">
        <v>3</v>
      </c>
      <c r="W34" s="38">
        <v>2</v>
      </c>
      <c r="X34" s="38">
        <v>2</v>
      </c>
      <c r="Y34" s="38">
        <v>1</v>
      </c>
      <c r="Z34" s="38">
        <v>1</v>
      </c>
      <c r="AA34" s="38">
        <v>1</v>
      </c>
      <c r="AB34" s="38">
        <v>1</v>
      </c>
      <c r="AC34" s="38">
        <v>1</v>
      </c>
      <c r="AD34" s="38">
        <v>1</v>
      </c>
      <c r="AE34" s="38">
        <v>1</v>
      </c>
      <c r="AF34" s="38">
        <v>1</v>
      </c>
      <c r="AG34" s="38">
        <v>1</v>
      </c>
      <c r="AH34" s="37">
        <v>1</v>
      </c>
    </row>
    <row r="35" spans="1:34" x14ac:dyDescent="0.25">
      <c r="C35" s="74"/>
      <c r="E35" s="5" t="str">
        <f t="shared" si="2"/>
        <v/>
      </c>
      <c r="F35" s="6" t="str">
        <f>IF(IF(OR(I34="",I34=0),"",IF(ROUND(MIN($V$2*3,$B$36-SUM($J$6:$J34)),0)&lt;0,0,ROUND(MIN($V$2*3,$B$36-SUM($J$6:$J34)),0)))&gt;0,IF(OR(I34="",I34=0),"",IF(ROUND(MIN($V$2*3,$B$36-SUM($J$6:$J34)),0)&lt;0,0,ROUND(MIN($V$2*3,$B$36-SUM($J$6:$J34)),0))),0)</f>
        <v/>
      </c>
      <c r="G35" s="6" t="str">
        <f>IF(IF(OR(F35="",F35=0),"",IF(ROUND(MIN($V$2*3,$B$36-SUM($J$6:$J34)-SUM($F35:F35)),0)&lt;0,0,ROUND(MIN($V$2*3,$B$36-SUM($J$6:$J34)-SUM($F35:F35)),0)))&gt;0,IF(OR(F35="",F35=0),"",IF(ROUND(MIN($V$2*3,$B$36-SUM($J$6:$J34)-SUM($F35:F35)),0)&lt;0,0,ROUND(MIN($V$2*3,$B$36-SUM($J$6:$J34)-SUM($F35:F35)),0))),0)</f>
        <v/>
      </c>
      <c r="H35" s="6" t="str">
        <f>IF(IF(OR(G35="",G35=0),"",IF(ROUND(MIN($V$2*3,$B$36-SUM($J$6:$J34)-SUM($F35:G35)),0)&lt;0,0,ROUND(MIN($V$2*3,$B$36-SUM($J$6:$J34)-SUM($F35:G35)),0)))&gt;0,IF(OR(G35="",G35=0),"",IF(ROUND(MIN($V$2*3,$B$36-SUM($J$6:$J34)-SUM($F35:G35)),0)&lt;0,0,ROUND(MIN($V$2*3,$B$36-SUM($J$6:$J34)-SUM($F35:G35)),0))),0)</f>
        <v/>
      </c>
      <c r="I35" s="6" t="str">
        <f>IF(IF(OR(H35="",H35=0),"",IF(ROUND(MIN($V$2*3,$B$36-SUM($J$6:$J34)-SUM($F35:H35)),0)&lt;0,0,ROUND(MIN($V$2*3,$B$36-SUM($J$6:$J34)-SUM($F35:H35)),0)))&gt;0,IF(OR(H35="",H35=0),"",IF(ROUND(MIN($V$2*3,$B$36-SUM($J$6:$J34)-SUM($F35:H35)),0)&lt;0,0,ROUND(MIN($V$2*3,$B$36-SUM($J$6:$J34)-SUM($F35:H35)),0))),0)</f>
        <v/>
      </c>
      <c r="J35" s="9" t="str">
        <f t="shared" si="1"/>
        <v/>
      </c>
      <c r="R35" s="100" t="s">
        <v>11</v>
      </c>
      <c r="V35" s="44">
        <v>4</v>
      </c>
      <c r="W35" s="38">
        <v>2</v>
      </c>
      <c r="X35" s="38">
        <v>2</v>
      </c>
      <c r="Y35" s="38">
        <v>2</v>
      </c>
      <c r="Z35" s="38">
        <v>1</v>
      </c>
      <c r="AA35" s="38">
        <v>1</v>
      </c>
      <c r="AB35" s="38">
        <v>1</v>
      </c>
      <c r="AC35" s="38">
        <v>1</v>
      </c>
      <c r="AD35" s="38">
        <v>1</v>
      </c>
      <c r="AE35" s="38">
        <v>1</v>
      </c>
      <c r="AF35" s="38">
        <v>1</v>
      </c>
      <c r="AG35" s="38">
        <v>1</v>
      </c>
      <c r="AH35" s="37">
        <v>1</v>
      </c>
    </row>
    <row r="36" spans="1:34" ht="13.8" thickBot="1" x14ac:dyDescent="0.3">
      <c r="A36" s="73" t="s">
        <v>44</v>
      </c>
      <c r="B36" s="108">
        <f>IF(MIN(IF(B14="Y",B25-B32,B27-B32),100000-B33-B34)&lt;0,0,MIN(IF(B14="Y",B25-B32,B27-B32),100000-B33-B34))</f>
        <v>0</v>
      </c>
      <c r="C36" s="74"/>
      <c r="E36" s="10" t="str">
        <f t="shared" si="2"/>
        <v/>
      </c>
      <c r="F36" s="125" t="str">
        <f>IF(IF(OR(I35="",I35=0),"",IF(ROUND(MIN($V$2*3,$B$36-SUM($J$6:$J35)),0)&lt;0,0,ROUND(MIN($V$2*3,$B$36-SUM($J$6:$J35)),0)))&gt;0,IF(OR(I35="",I35=0),"",IF(ROUND(MIN($V$2*3,$B$36-SUM($J$6:$J35)),0)&lt;0,0,ROUND(MIN($V$2*3,$B$36-SUM($J$6:$J35)),0))),0)</f>
        <v/>
      </c>
      <c r="G36" s="125" t="str">
        <f>IF(IF(OR(F36="",F36=0),"",IF(ROUND(MIN($V$2*3,$B$36-SUM($J$6:$J35)-SUM($F36:F36)),0)&lt;0,0,ROUND(MIN($V$2*3,$B$36-SUM($J$6:$J35)-SUM($F36:F36)),0)))&gt;0,IF(OR(F36="",F36=0),"",IF(ROUND(MIN($V$2*3,$B$36-SUM($J$6:$J35)-SUM($F36:F36)),0)&lt;0,0,ROUND(MIN($V$2*3,$B$36-SUM($J$6:$J35)-SUM($F36:F36)),0))),0)</f>
        <v/>
      </c>
      <c r="H36" s="125" t="str">
        <f>IF(IF(OR(G36="",G36=0),"",IF(ROUND(MIN($V$2*3,$B$36-SUM($J$6:$J35)-SUM($F36:G36)),0)&lt;0,0,ROUND(MIN($V$2*3,$B$36-SUM($J$6:$J35)-SUM($F36:G36)),0)))&gt;0,IF(OR(G36="",G36=0),"",IF(ROUND(MIN($V$2*3,$B$36-SUM($J$6:$J35)-SUM($F36:G36)),0)&lt;0,0,ROUND(MIN($V$2*3,$B$36-SUM($J$6:$J35)-SUM($F36:G36)),0))),0)</f>
        <v/>
      </c>
      <c r="I36" s="125" t="str">
        <f>IF(IF(OR(H36="",H36=0),"",IF(ROUND(MIN($V$2*3,$B$36-SUM($J$6:$J35)-SUM($F36:H36)),0)&lt;0,0,ROUND(MIN($V$2*3,$B$36-SUM($J$6:$J35)-SUM($F36:H36)),0)))&gt;0,IF(OR(H36="",H36=0),"",IF(ROUND(MIN($V$2*3,$B$36-SUM($J$6:$J35)-SUM($F36:H36)),0)&lt;0,0,ROUND(MIN($V$2*3,$B$36-SUM($J$6:$J35)-SUM($F36:H36)),0))),0)</f>
        <v/>
      </c>
      <c r="J36" s="11" t="str">
        <f t="shared" si="1"/>
        <v/>
      </c>
      <c r="R36" s="101">
        <v>41305</v>
      </c>
      <c r="U36" s="45"/>
      <c r="V36" s="44">
        <v>5</v>
      </c>
      <c r="W36" s="38">
        <v>2</v>
      </c>
      <c r="X36" s="38">
        <v>2</v>
      </c>
      <c r="Y36" s="38">
        <v>2</v>
      </c>
      <c r="Z36" s="38">
        <v>2</v>
      </c>
      <c r="AA36" s="38">
        <v>1</v>
      </c>
      <c r="AB36" s="38">
        <v>1</v>
      </c>
      <c r="AC36" s="38">
        <v>1</v>
      </c>
      <c r="AD36" s="38">
        <v>1</v>
      </c>
      <c r="AE36" s="38">
        <v>1</v>
      </c>
      <c r="AF36" s="38">
        <v>1</v>
      </c>
      <c r="AG36" s="38">
        <v>1</v>
      </c>
      <c r="AH36" s="37">
        <v>1</v>
      </c>
    </row>
    <row r="37" spans="1:34" ht="13.8" thickBot="1" x14ac:dyDescent="0.3">
      <c r="A37" s="73"/>
      <c r="B37" s="58"/>
      <c r="C37" s="74"/>
      <c r="E37" s="12"/>
      <c r="F37" s="13"/>
      <c r="G37" s="13"/>
      <c r="H37" s="13"/>
      <c r="I37" s="14" t="s">
        <v>1</v>
      </c>
      <c r="J37" s="15">
        <f>SUM(J6:J35)</f>
        <v>0</v>
      </c>
      <c r="R37" s="101">
        <v>41333</v>
      </c>
      <c r="V37" s="44">
        <v>6</v>
      </c>
      <c r="W37" s="38">
        <v>2</v>
      </c>
      <c r="X37" s="38">
        <v>2</v>
      </c>
      <c r="Y37" s="38">
        <v>2</v>
      </c>
      <c r="Z37" s="38">
        <v>2</v>
      </c>
      <c r="AA37" s="38">
        <v>2</v>
      </c>
      <c r="AB37" s="38">
        <v>1</v>
      </c>
      <c r="AC37" s="38">
        <v>1</v>
      </c>
      <c r="AD37" s="38">
        <v>1</v>
      </c>
      <c r="AE37" s="38">
        <v>1</v>
      </c>
      <c r="AF37" s="38">
        <v>1</v>
      </c>
      <c r="AG37" s="38">
        <v>1</v>
      </c>
      <c r="AH37" s="37">
        <v>1</v>
      </c>
    </row>
    <row r="38" spans="1:34" ht="13.8" thickBot="1" x14ac:dyDescent="0.3">
      <c r="A38" s="70" t="s">
        <v>23</v>
      </c>
      <c r="B38" s="95"/>
      <c r="C38" s="72"/>
      <c r="E38" s="111" t="s">
        <v>66</v>
      </c>
      <c r="R38" s="101">
        <v>41364</v>
      </c>
      <c r="V38" s="44">
        <v>7</v>
      </c>
      <c r="W38" s="38">
        <v>2</v>
      </c>
      <c r="X38" s="38">
        <v>2</v>
      </c>
      <c r="Y38" s="38">
        <v>2</v>
      </c>
      <c r="Z38" s="38">
        <v>2</v>
      </c>
      <c r="AA38" s="38">
        <v>2</v>
      </c>
      <c r="AB38" s="38">
        <v>2</v>
      </c>
      <c r="AC38" s="38">
        <v>1</v>
      </c>
      <c r="AD38" s="38">
        <v>1</v>
      </c>
      <c r="AE38" s="38">
        <v>1</v>
      </c>
      <c r="AF38" s="38">
        <v>1</v>
      </c>
      <c r="AG38" s="38">
        <v>1</v>
      </c>
      <c r="AH38" s="37">
        <v>1</v>
      </c>
    </row>
    <row r="39" spans="1:34" ht="12" customHeight="1" x14ac:dyDescent="0.25">
      <c r="A39" s="84"/>
      <c r="B39" s="58"/>
      <c r="C39" s="74"/>
      <c r="E39" s="63"/>
      <c r="F39" s="57"/>
      <c r="G39" s="57"/>
      <c r="H39" s="57"/>
      <c r="I39" s="57"/>
      <c r="J39" s="57"/>
      <c r="R39" s="101">
        <v>41394</v>
      </c>
      <c r="V39" s="44">
        <v>8</v>
      </c>
      <c r="W39" s="38">
        <v>2</v>
      </c>
      <c r="X39" s="38">
        <v>2</v>
      </c>
      <c r="Y39" s="38">
        <v>2</v>
      </c>
      <c r="Z39" s="38">
        <v>2</v>
      </c>
      <c r="AA39" s="38">
        <v>2</v>
      </c>
      <c r="AB39" s="38">
        <v>2</v>
      </c>
      <c r="AC39" s="38">
        <v>2</v>
      </c>
      <c r="AD39" s="38">
        <v>1</v>
      </c>
      <c r="AE39" s="38">
        <v>1</v>
      </c>
      <c r="AF39" s="38">
        <v>1</v>
      </c>
      <c r="AG39" s="38">
        <v>1</v>
      </c>
      <c r="AH39" s="37">
        <v>1</v>
      </c>
    </row>
    <row r="40" spans="1:34" ht="12" customHeight="1" x14ac:dyDescent="0.25">
      <c r="A40" s="73" t="s">
        <v>42</v>
      </c>
      <c r="B40" s="58"/>
      <c r="C40" s="74"/>
      <c r="E40" s="57"/>
      <c r="F40" s="57"/>
      <c r="G40" s="57"/>
      <c r="H40" s="57"/>
      <c r="I40" s="57"/>
      <c r="J40" s="57"/>
      <c r="R40" s="101">
        <v>41425</v>
      </c>
      <c r="V40" s="44">
        <v>9</v>
      </c>
      <c r="W40" s="38">
        <v>2</v>
      </c>
      <c r="X40" s="38">
        <v>2</v>
      </c>
      <c r="Y40" s="38">
        <v>2</v>
      </c>
      <c r="Z40" s="38">
        <v>2</v>
      </c>
      <c r="AA40" s="38">
        <v>2</v>
      </c>
      <c r="AB40" s="38">
        <v>2</v>
      </c>
      <c r="AC40" s="38">
        <v>2</v>
      </c>
      <c r="AD40" s="38">
        <v>2</v>
      </c>
      <c r="AE40" s="38">
        <v>1</v>
      </c>
      <c r="AF40" s="38">
        <v>1</v>
      </c>
      <c r="AG40" s="38">
        <v>1</v>
      </c>
      <c r="AH40" s="37">
        <v>1</v>
      </c>
    </row>
    <row r="41" spans="1:34" ht="12" customHeight="1" x14ac:dyDescent="0.25">
      <c r="A41" s="88"/>
      <c r="B41" s="58"/>
      <c r="C41" s="74"/>
      <c r="E41" s="160"/>
      <c r="F41" s="59"/>
      <c r="G41" s="61"/>
      <c r="H41" s="58"/>
      <c r="I41" s="160"/>
      <c r="J41" s="27"/>
      <c r="R41" s="101">
        <v>41455</v>
      </c>
      <c r="V41" s="44">
        <v>10</v>
      </c>
      <c r="W41" s="38">
        <v>2</v>
      </c>
      <c r="X41" s="38">
        <v>2</v>
      </c>
      <c r="Y41" s="38">
        <v>2</v>
      </c>
      <c r="Z41" s="38">
        <v>2</v>
      </c>
      <c r="AA41" s="38">
        <v>2</v>
      </c>
      <c r="AB41" s="38">
        <v>2</v>
      </c>
      <c r="AC41" s="38">
        <v>2</v>
      </c>
      <c r="AD41" s="38">
        <v>2</v>
      </c>
      <c r="AE41" s="38">
        <v>2</v>
      </c>
      <c r="AF41" s="38">
        <v>1</v>
      </c>
      <c r="AG41" s="38">
        <v>1</v>
      </c>
      <c r="AH41" s="37">
        <v>1</v>
      </c>
    </row>
    <row r="42" spans="1:34" ht="12" customHeight="1" x14ac:dyDescent="0.25">
      <c r="A42" s="73" t="s">
        <v>21</v>
      </c>
      <c r="B42" s="85">
        <f>'HP Equipment 1'!B42</f>
        <v>0</v>
      </c>
      <c r="C42" s="74"/>
      <c r="E42" s="160"/>
      <c r="F42" s="58"/>
      <c r="G42" s="62"/>
      <c r="H42" s="58"/>
      <c r="I42" s="160"/>
      <c r="J42" s="62"/>
      <c r="R42" s="101">
        <v>41486</v>
      </c>
      <c r="V42" s="44">
        <v>11</v>
      </c>
      <c r="W42" s="38">
        <v>2</v>
      </c>
      <c r="X42" s="38">
        <v>2</v>
      </c>
      <c r="Y42" s="38">
        <v>2</v>
      </c>
      <c r="Z42" s="38">
        <v>2</v>
      </c>
      <c r="AA42" s="38">
        <v>2</v>
      </c>
      <c r="AB42" s="38">
        <v>2</v>
      </c>
      <c r="AC42" s="38">
        <v>2</v>
      </c>
      <c r="AD42" s="38">
        <v>2</v>
      </c>
      <c r="AE42" s="38">
        <v>2</v>
      </c>
      <c r="AF42" s="38">
        <v>2</v>
      </c>
      <c r="AG42" s="38">
        <v>1</v>
      </c>
      <c r="AH42" s="37">
        <v>1</v>
      </c>
    </row>
    <row r="43" spans="1:34" ht="12" customHeight="1" thickBot="1" x14ac:dyDescent="0.3">
      <c r="A43" s="73" t="s">
        <v>22</v>
      </c>
      <c r="B43" s="85">
        <f>'HP Equipment 1'!B43</f>
        <v>0</v>
      </c>
      <c r="C43" s="74"/>
      <c r="E43" s="60"/>
      <c r="F43" s="58"/>
      <c r="G43" s="58"/>
      <c r="H43" s="58"/>
      <c r="I43" s="58"/>
      <c r="J43" s="58"/>
      <c r="R43" s="101">
        <v>41517</v>
      </c>
      <c r="V43" s="53">
        <v>12</v>
      </c>
      <c r="W43" s="40">
        <v>2</v>
      </c>
      <c r="X43" s="40">
        <v>2</v>
      </c>
      <c r="Y43" s="40">
        <v>2</v>
      </c>
      <c r="Z43" s="40">
        <v>2</v>
      </c>
      <c r="AA43" s="40">
        <v>2</v>
      </c>
      <c r="AB43" s="40">
        <v>2</v>
      </c>
      <c r="AC43" s="40">
        <v>2</v>
      </c>
      <c r="AD43" s="40">
        <v>2</v>
      </c>
      <c r="AE43" s="40">
        <v>2</v>
      </c>
      <c r="AF43" s="40">
        <v>2</v>
      </c>
      <c r="AG43" s="40">
        <v>2</v>
      </c>
      <c r="AH43" s="41">
        <v>1</v>
      </c>
    </row>
    <row r="44" spans="1:34" ht="12" customHeight="1" x14ac:dyDescent="0.25">
      <c r="A44" s="73"/>
      <c r="B44" s="85"/>
      <c r="C44" s="74"/>
      <c r="E44" s="159"/>
      <c r="F44" s="159"/>
      <c r="G44" s="159"/>
      <c r="H44" s="159"/>
      <c r="I44" s="159"/>
      <c r="J44" s="159"/>
      <c r="R44" s="101">
        <v>41547</v>
      </c>
    </row>
    <row r="45" spans="1:34" ht="12" customHeight="1" x14ac:dyDescent="0.25">
      <c r="A45" s="86" t="s">
        <v>34</v>
      </c>
      <c r="B45" s="87" t="str">
        <f>'HP Equipment 1'!B45</f>
        <v/>
      </c>
      <c r="C45" s="74"/>
      <c r="E45" s="159"/>
      <c r="F45" s="159"/>
      <c r="G45" s="159"/>
      <c r="H45" s="159"/>
      <c r="I45" s="159"/>
      <c r="J45" s="159"/>
      <c r="R45" s="101">
        <v>41578</v>
      </c>
    </row>
    <row r="46" spans="1:34" ht="12" customHeight="1" thickBot="1" x14ac:dyDescent="0.3">
      <c r="A46" s="88"/>
      <c r="B46" s="87"/>
      <c r="C46" s="74"/>
      <c r="E46" s="159"/>
      <c r="F46" s="159"/>
      <c r="G46" s="159"/>
      <c r="H46" s="159"/>
      <c r="I46" s="159"/>
      <c r="J46" s="159"/>
      <c r="R46" s="101">
        <v>41608</v>
      </c>
    </row>
    <row r="47" spans="1:34" ht="12" customHeight="1" thickBot="1" x14ac:dyDescent="0.3">
      <c r="A47" s="88" t="s">
        <v>35</v>
      </c>
      <c r="B47" s="89" t="str">
        <f>IF(ISERROR(INDEX(W26:Z29,MATCH(TEXT(MONTH(B42),0),V26:V29,0),MATCH((YEAR(B43)-YEAR(B42))*12+MONTH(B43)-MONTH(B42),W25:Z25,0))),"Please enter the correct relevant period",INDEX(W26:Z29,MATCH(TEXT(MONTH(B42),0),V26:V29,0),MATCH((YEAR(B43)-YEAR(B42))*12+MONTH(B43)-MONTH(B42),W25:Z25,0)))</f>
        <v>Please enter the correct relevant period</v>
      </c>
      <c r="C47" s="74"/>
      <c r="E47" s="159"/>
      <c r="F47" s="159"/>
      <c r="G47" s="159"/>
      <c r="H47" s="159"/>
      <c r="I47" s="159"/>
      <c r="J47" s="159"/>
      <c r="R47" s="102">
        <v>41639</v>
      </c>
    </row>
    <row r="48" spans="1:34" ht="12" customHeight="1" x14ac:dyDescent="0.25">
      <c r="A48" s="73"/>
      <c r="B48" s="58" t="s">
        <v>24</v>
      </c>
      <c r="C48" s="74"/>
      <c r="R48" s="56"/>
    </row>
    <row r="49" spans="1:18" ht="12" customHeight="1" thickBot="1" x14ac:dyDescent="0.3">
      <c r="A49" s="90"/>
      <c r="B49" s="98"/>
      <c r="C49" s="91"/>
    </row>
    <row r="51" spans="1:18" x14ac:dyDescent="0.25">
      <c r="R51" s="56"/>
    </row>
  </sheetData>
  <sheetProtection algorithmName="SHA-512" hashValue="bzpgu8j2CgrZo9eytdd596NFTV4lFoH1o6HIiFkB3eBkBxLj6K7qDsJjwp2DcuqnTMViGxI6FH/hBYboF9LToA==" saltValue="S5OzTN1Ihan9Jl5xzJaOKw==" spinCount="100000" sheet="1" objects="1" scenarios="1" selectLockedCells="1"/>
  <mergeCells count="14">
    <mergeCell ref="E41:E42"/>
    <mergeCell ref="I41:I42"/>
    <mergeCell ref="E44:J47"/>
    <mergeCell ref="L2:M2"/>
    <mergeCell ref="N2:O2"/>
    <mergeCell ref="R2:S2"/>
    <mergeCell ref="A1:C2"/>
    <mergeCell ref="E1:J2"/>
    <mergeCell ref="W24:Z24"/>
    <mergeCell ref="U25:U29"/>
    <mergeCell ref="A3:C9"/>
    <mergeCell ref="E4:E5"/>
    <mergeCell ref="F4:I4"/>
    <mergeCell ref="J4:J5"/>
  </mergeCells>
  <dataValidations count="5">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500-000000000000}"/>
    <dataValidation type="date" allowBlank="1" showInputMessage="1" showErrorMessage="1" errorTitle="Error" error="Please enter a valid date in the format dd/mm/yyyy." promptTitle="Note" prompt="Enter the relevant period as per your PIC Cash Payout application" sqref="B42:B44" xr:uid="{00000000-0002-0000-0500-000001000000}">
      <formula1>40575</formula1>
      <formula2>42369</formula2>
    </dataValidation>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500-000003000000}"/>
    <dataValidation type="date" allowBlank="1" showInputMessage="1" showErrorMessage="1" errorTitle="Error" error="Please enter a valid date in the format dd/mm/yyyy." sqref="B18:B19" xr:uid="{00000000-0002-0000-0500-000004000000}">
      <formula1>40575</formula1>
      <formula2>43100</formula2>
    </dataValidation>
    <dataValidation allowBlank="1" showInputMessage="1" showErrorMessage="1" promptTitle="Note" prompt="Enter non-qualifying costs included in the cash purchase price (B8)." sqref="B32" xr:uid="{2B0F4C68-8C09-445C-A7B7-B3FE00E866D0}"/>
  </dataValidations>
  <pageMargins left="0.74803149606299213" right="0.74803149606299213" top="0.98425196850393704" bottom="0.98425196850393704" header="0.51181102362204722" footer="0.51181102362204722"/>
  <pageSetup paperSize="9" scale="93" orientation="portrait"/>
  <colBreaks count="1" manualBreakCount="1">
    <brk id="10" max="1048575"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H51"/>
  <sheetViews>
    <sheetView showGridLines="0" workbookViewId="0">
      <selection activeCell="B17" sqref="B17"/>
    </sheetView>
  </sheetViews>
  <sheetFormatPr defaultColWidth="10.8984375" defaultRowHeight="13.2" x14ac:dyDescent="0.25"/>
  <cols>
    <col min="1" max="1" width="42.59765625" style="1" customWidth="1"/>
    <col min="2" max="2" width="35.09765625" style="1" customWidth="1"/>
    <col min="3" max="4" width="5" style="1" customWidth="1"/>
    <col min="5" max="9" width="10.8984375" style="1" customWidth="1"/>
    <col min="10" max="10" width="23.8984375" style="1" customWidth="1"/>
    <col min="11" max="11" width="10.8984375" style="1" customWidth="1"/>
    <col min="12" max="20" width="10.8984375" style="1" hidden="1" customWidth="1"/>
    <col min="21" max="21" width="31.3984375" style="1" hidden="1" customWidth="1"/>
    <col min="22" max="34" width="10.8984375" style="1" hidden="1" customWidth="1"/>
    <col min="35" max="16384" width="10.8984375" style="1"/>
  </cols>
  <sheetData>
    <row r="1" spans="1:22" ht="18.75" customHeight="1" thickBot="1" x14ac:dyDescent="0.3">
      <c r="A1" s="139" t="s">
        <v>67</v>
      </c>
      <c r="B1" s="140"/>
      <c r="C1" s="141"/>
      <c r="D1" s="54"/>
      <c r="E1" s="139" t="s">
        <v>70</v>
      </c>
      <c r="F1" s="166"/>
      <c r="G1" s="166"/>
      <c r="H1" s="166"/>
      <c r="I1" s="166"/>
      <c r="J1" s="167"/>
    </row>
    <row r="2" spans="1:22" ht="43.5" customHeight="1" thickBot="1" x14ac:dyDescent="0.3">
      <c r="A2" s="142"/>
      <c r="B2" s="143"/>
      <c r="C2" s="144"/>
      <c r="D2" s="54"/>
      <c r="E2" s="168"/>
      <c r="F2" s="169"/>
      <c r="G2" s="169"/>
      <c r="H2" s="169"/>
      <c r="I2" s="169"/>
      <c r="J2" s="170"/>
      <c r="L2" s="145" t="s">
        <v>2</v>
      </c>
      <c r="M2" s="146"/>
      <c r="N2" s="146" t="s">
        <v>4</v>
      </c>
      <c r="O2" s="147"/>
      <c r="R2" s="148" t="s">
        <v>0</v>
      </c>
      <c r="S2" s="149"/>
      <c r="U2" s="16" t="s">
        <v>6</v>
      </c>
      <c r="V2" s="17" t="e">
        <f>IF(B14="Y",(B25-B32-MAX(B29-B26,0))/B20,(B27-B32-B29)/B20)</f>
        <v>#DIV/0!</v>
      </c>
    </row>
    <row r="3" spans="1:22" ht="15" customHeight="1" thickBot="1" x14ac:dyDescent="0.3">
      <c r="A3" s="171" t="s">
        <v>77</v>
      </c>
      <c r="B3" s="151"/>
      <c r="C3" s="152"/>
      <c r="E3" s="55" t="s">
        <v>55</v>
      </c>
      <c r="J3" s="8"/>
      <c r="L3" s="18">
        <v>1</v>
      </c>
      <c r="M3" s="19">
        <v>1</v>
      </c>
      <c r="N3" s="19">
        <v>1</v>
      </c>
      <c r="O3" s="20">
        <v>3</v>
      </c>
      <c r="R3" s="5">
        <v>1</v>
      </c>
      <c r="S3" s="21"/>
      <c r="U3" s="22" t="s">
        <v>16</v>
      </c>
      <c r="V3" s="23">
        <f>IF(B14="Y",B25-B32,B27-B32)</f>
        <v>0</v>
      </c>
    </row>
    <row r="4" spans="1:22" ht="15" customHeight="1" thickBot="1" x14ac:dyDescent="0.3">
      <c r="A4" s="153"/>
      <c r="B4" s="154"/>
      <c r="C4" s="155"/>
      <c r="E4" s="162" t="s">
        <v>0</v>
      </c>
      <c r="F4" s="161" t="s">
        <v>2</v>
      </c>
      <c r="G4" s="161"/>
      <c r="H4" s="161"/>
      <c r="I4" s="161"/>
      <c r="J4" s="164" t="s">
        <v>15</v>
      </c>
      <c r="L4" s="18">
        <v>2</v>
      </c>
      <c r="M4" s="19">
        <v>1</v>
      </c>
      <c r="N4" s="19">
        <v>2</v>
      </c>
      <c r="O4" s="20">
        <v>2</v>
      </c>
      <c r="R4" s="5">
        <v>2</v>
      </c>
      <c r="S4" s="21" t="e">
        <f t="shared" ref="S4:S33" si="0">$E$6+MIN(R3,$B$20/12)</f>
        <v>#VALUE!</v>
      </c>
      <c r="U4" s="24" t="s">
        <v>7</v>
      </c>
      <c r="V4" s="25">
        <f>IF(B14="Y",MAX(B29-B26,0),B29)</f>
        <v>0</v>
      </c>
    </row>
    <row r="5" spans="1:22" ht="15" customHeight="1" thickBot="1" x14ac:dyDescent="0.3">
      <c r="A5" s="153"/>
      <c r="B5" s="154"/>
      <c r="C5" s="155"/>
      <c r="E5" s="163"/>
      <c r="F5" s="99">
        <v>1</v>
      </c>
      <c r="G5" s="99">
        <v>2</v>
      </c>
      <c r="H5" s="99">
        <v>3</v>
      </c>
      <c r="I5" s="99">
        <v>4</v>
      </c>
      <c r="J5" s="165"/>
      <c r="L5" s="18">
        <v>3</v>
      </c>
      <c r="M5" s="19">
        <v>1</v>
      </c>
      <c r="N5" s="19">
        <v>3</v>
      </c>
      <c r="O5" s="20">
        <v>1</v>
      </c>
      <c r="R5" s="5">
        <v>3</v>
      </c>
      <c r="S5" s="21" t="e">
        <f t="shared" si="0"/>
        <v>#VALUE!</v>
      </c>
    </row>
    <row r="6" spans="1:22" ht="15" customHeight="1" thickBot="1" x14ac:dyDescent="0.3">
      <c r="A6" s="153"/>
      <c r="B6" s="154"/>
      <c r="C6" s="155"/>
      <c r="E6" s="2" t="str">
        <f>IF(ISERROR(IF(YEAR(B19)+INDEX(W32:AH43,MATCH(MONTH(B19),V32:V43,0),MATCH(B13,W31:AH31,0))=1901,"",MIN(YEAR(B18)+INDEX(W32:AH43,MATCH(MONTH(B18),V32:V43,0),MATCH(B13,W31:AH31,0)),YEAR(B19)+INDEX(W32:AH43,MATCH(MONTH(B19),V32:V43,0),MATCH(B13,W31:AH31,0))))),"",IF(YEAR(B19)+INDEX(W32:AH43,MATCH(MONTH(B19),V32:V43,0),MATCH(B13,W31:AH31,0))=1901,"",MIN(YEAR(B18)+INDEX(W32:AH43,MATCH(MONTH(B18),V32:V43,0),MATCH(B13,W31:AH31,0)),YEAR(B19)+INDEX(W32:AH43,MATCH(MONTH(B19),V32:V43,0),MATCH(B13,W31:AH31,0)))))</f>
        <v/>
      </c>
      <c r="F6" s="3" t="str">
        <f>IF(IF(ISERROR(ROUND(MIN(IF(AND($V$21=$E$6,$V$13=F5),$V$4,0)+IF(AND($V$17=$E$6,$V$8=F5),$V$2*M29,0),$B$36),0)),"",ROUND(MIN(IF(AND($V$21=$E$6,$V$13=F5),$V$4,0)+IF(AND($V$17=$E$6,$V$8=F5),$V$2*M29,0),$B$36),0))&gt;0,IF(ISERROR(ROUND(MIN(IF(AND($V$21=$E$6,$V$13=F5),$V$4,0)+IF(AND($V$17=$E$6,$V$8=F5),$V$2*M29,0),$B$36),0)),"",ROUND(MIN(IF(AND($V$21=$E$6,$V$13=F5),$V$4,0)+IF(AND($V$17=$E$6,$V$8=F5),$V$2*M29,0),$B$36),0)),0)</f>
        <v/>
      </c>
      <c r="G6" s="3" t="str">
        <f>IF(IF(ISERROR(ROUND(MIN(IF(AND($V$21=$E$6,$V$13=G5),$V$4,0)+IF(ISERROR(IF(AND($V$17=$E$6,$V$8=G5),$V$2*N29,0)),0,IF(AND($V$17=$E$6,$V$8=G5),$V$2*N29,0))+IF(AND($V$8&lt;G5,$V$17=$E$6),$V$2*3,0),$B$36-SUM($F$6:F6)),0)),"",ROUND(MIN(IF(AND($V$21=$E$6,$V$13=G5),$V$4,0)+IF(ISERROR(IF(AND($V$17=$E$6,$V$8=G5),$V$2*N29,0)),0,IF(AND($V$17=$E$6,$V$8=G5),$V$2*N29,0))+IF(AND($V$8&lt;G5,$V$17=$E$6),$V$2*3,0),$B$36-SUM($F$6:F6)),0))&gt;0,IF(ISERROR(ROUND(MIN(IF(AND($V$21=$E$6,$V$13=G5),$V$4,0)+IF(ISERROR(IF(AND($V$17=$E$6,$V$8=G5),$V$2*N29,0)),0,IF(AND($V$17=$E$6,$V$8=G5),$V$2*N29,0))+IF(AND($V$8&lt;G5,$V$17=$E$6),$V$2*3,0),$B$36-SUM($F$6:F6)),0)),"",ROUND(MIN(IF(AND($V$21=$E$6,$V$13=G5),$V$4,0)+IF(ISERROR(IF(AND($V$17=$E$6,$V$8=G5),$V$2*N29,0)),0,IF(AND($V$17=$E$6,$V$8=G5),$V$2*N29,0))+IF(AND($V$8&lt;G5,$V$17=$E$6),$V$2*3,0),$B$36-SUM($F$6:F6)),0)),0)</f>
        <v/>
      </c>
      <c r="H6" s="3" t="str">
        <f>IF(IF(ISERROR(ROUND(MIN(IF(AND($V$21=$E$6,$V$13=H5),$V$4,0)+IF(ISERROR(IF(AND($V$17=$E$6,$V$8=H5),$V$2*O29,0)),0,IF(AND($V$17=$E$6,$V$8=H5),$V$2*O29,0))+IF(AND($V$8&lt;H5,$V$17=$E$6),$V$2*3,0),$B$36-SUM($F$6:G6)),0)),"",ROUND(MIN(IF(AND($V$21=$E$6,$V$13=H5),$V$4,0)+IF(ISERROR(IF(AND($V$17=$E$6,$V$8=H5),$V$2*O29,0)),0,IF(AND($V$17=$E$6,$V$8=H5),$V$2*O29,0))+IF(AND($V$8&lt;H5,$V$17=$E$6),$V$2*3,0),$B$36-SUM($F$6:G6)),0))&gt;0,IF(ISERROR(ROUND(MIN(IF(AND($V$21=$E$6,$V$13=H5),$V$4,0)+IF(ISERROR(IF(AND($V$17=$E$6,$V$8=H5),$V$2*O29,0)),0,IF(AND($V$17=$E$6,$V$8=H5),$V$2*O29,0))+IF(AND($V$8&lt;H5,$V$17=$E$6),$V$2*3,0),$B$36-SUM($F$6:G6)),0)),"",ROUND(MIN(IF(AND($V$21=$E$6,$V$13=H5),$V$4,0)+IF(ISERROR(IF(AND($V$17=$E$6,$V$8=H5),$V$2*O29,0)),0,IF(AND($V$17=$E$6,$V$8=H5),$V$2*O29,0))+IF(AND($V$8&lt;H5,$V$17=$E$6),$V$2*3,0),$B$36-SUM($F$6:G6)),0)),0)</f>
        <v/>
      </c>
      <c r="I6" s="3" t="str">
        <f>IF(IF(ISERROR(ROUND(MIN(IF(AND($V$21=$E$6,$V$13=I5),$V$4,0)+IF(ISERROR(IF(AND($V$17=$E$6,$V$8=I5),$V$2*P29,0)),0,IF(AND($V$17=$E$6,$V$8=I5),$V$2*P29,0))+IF(AND($V$8&lt;I5,$V$17=$E$6),$V$2*3,0),$B$36-SUM($F$6:H6)),0)),"",ROUND(MIN(IF(AND($V$21=$E$6,$V$13=I5),$V$4,0)+IF(ISERROR(IF(AND($V$17=$E$6,$V$8=I5),$V$2*P29,0)),0,IF(AND($V$17=$E$6,$V$8=I5),$V$2*P29,0))+IF(AND($V$8&lt;I5,$V$17=$E$6),$V$2*3,0),$B$36-SUM($F$6:H6)),0))&gt;0,IF(ISERROR(ROUND(MIN(IF(AND($V$21=$E$6,$V$13=I5),$V$4,0)+IF(ISERROR(IF(AND($V$17=$E$6,$V$8=I5),$V$2*P29,0)),0,IF(AND($V$17=$E$6,$V$8=I5),$V$2*P29,0))+IF(AND($V$8&lt;I5,$V$17=$E$6),$V$2*3,0),$B$36-SUM($F$6:H6)),0)),"",ROUND(MIN(IF(AND($V$21=$E$6,$V$13=I5),$V$4,0)+IF(ISERROR(IF(AND($V$17=$E$6,$V$8=I5),$V$2*P29,0)),0,IF(AND($V$17=$E$6,$V$8=I5),$V$2*P29,0))+IF(AND($V$8&lt;I5,$V$17=$E$6),$V$2*3,0),$B$36-SUM($F$6:H6)),0)),0)</f>
        <v/>
      </c>
      <c r="J6" s="4">
        <f>SUM(F6:I6)</f>
        <v>0</v>
      </c>
      <c r="L6" s="18">
        <v>4</v>
      </c>
      <c r="M6" s="19">
        <v>2</v>
      </c>
      <c r="N6" s="19">
        <v>4</v>
      </c>
      <c r="O6" s="20">
        <v>3</v>
      </c>
      <c r="R6" s="5">
        <v>4</v>
      </c>
      <c r="S6" s="21" t="e">
        <f t="shared" si="0"/>
        <v>#VALUE!</v>
      </c>
      <c r="U6" s="1" t="s">
        <v>49</v>
      </c>
    </row>
    <row r="7" spans="1:22" ht="15" customHeight="1" x14ac:dyDescent="0.25">
      <c r="A7" s="153"/>
      <c r="B7" s="154"/>
      <c r="C7" s="155"/>
      <c r="E7" s="5" t="str">
        <f>IF(ISERROR(IF(AND(F7="",F7=0,G7="",G7=0,H7="",H7=0,I7="",I7=0),"",IF($V$17=$V$21,E6+1,IF($V$21&gt;$V$17,$V$17+1,$V$17)))),"",IF(AND(F7="",F7=0,G7="",G7=0,H7="",H7=0,I7="",I7=0),"",IF($V$17=$V$21,E6+1,IF($V$21&gt;$V$17,$V$17+1,$V$17))))</f>
        <v/>
      </c>
      <c r="F7" s="6" t="str">
        <f>IF(IF(ISERROR(IF(ROUND(MIN(IF($V$17&lt;&gt;$E$6,IF($V$8=F5,$V$2*M29,0),$V$2*3),$B$36-SUM($J$6:$J6)),0)&lt;0,0,ROUND(MIN(IF($V$17&lt;&gt;$E$6,IF($V$8=F5,$V$2*M29,0),$V$2*3),$B$36-SUM($J$6:$J6)),0))),"",IF(ROUND(MIN(IF($V$17&lt;&gt;$E$6,IF($V$8=F5,$V$2*M29,0),$V$2*3),$B$36-SUM($J$6:$J6)),0)&lt;0,0,ROUND(MIN(IF($V$17&lt;&gt;$E$6,IF($V$8=F5,$V$2*M29,0),$V$2*3),$B$36-SUM($J$6:$J6)),0)))&gt;0,IF(ISERROR(IF(ROUND(MIN(IF($V$17&lt;&gt;$E$6,IF($V$8=F5,$V$2*M29,0),$V$2*3),$B$36-SUM($J$6:$J6)),0)&lt;0,0,ROUND(MIN(IF($V$17&lt;&gt;$E$6,IF($V$8=F5,$V$2*M29,0),$V$2*3),$B$36-SUM($J$6:$J6)),0))),"",IF(ROUND(MIN(IF($V$17&lt;&gt;$E$6,IF($V$8=F5,$V$2*M29,0),$V$2*3),$B$36-SUM($J$6:$J6)),0)&lt;0,0,ROUND(MIN(IF($V$17&lt;&gt;$E$6,IF($V$8=F5,$V$2*M29,0),$V$2*3),$B$36-SUM($J$6:$J6)),0))),0)</f>
        <v/>
      </c>
      <c r="G7" s="6" t="str">
        <f>IF(IF(ISERROR(IF(ROUND(MIN(IF($V$17&lt;&gt;$E$6,IF($V$8=F5,$V$2*M29,0),$V$2*3),$B$36-SUM($J$6:$J6)),0)&lt;0,0,ROUND(MIN(IF($V$17&lt;&gt;$E$6,IF($V$8=G5,$V$2*N29,0)+IF($V$8&lt;G5,$V$2*3,0),$V$2*3),$B$36-SUM($J$6:$J6)-SUM($F$7:F7)),0))),"",IF(ROUND(MIN(IF($V$17&lt;&gt;$E$6,IF($V$8=F5,$V$2*M29,0),$V$2*3),$B$36-SUM($J$6:$J6)),0)&lt;0,0,ROUND(MIN(IF($V$17&lt;&gt;$E$6,IF($V$8=G5,$V$2*N29,0)+IF($V$8&lt;G5,$V$2*3,0),$V$2*3),$B$36-SUM($J$6:$J6)-SUM($F$7:F7)),0)))&gt;0,IF(ISERROR(IF(ROUND(MIN(IF($V$17&lt;&gt;$E$6,IF($V$8=F5,$V$2*M29,0),$V$2*3),$B$36-SUM($J$6:$J6)),0)&lt;0,0,ROUND(MIN(IF($V$17&lt;&gt;$E$6,IF($V$8=G5,$V$2*N29,0)+IF($V$8&lt;G5,$V$2*3,0),$V$2*3),$B$36-SUM($J$6:$J6)-SUM($F$7:F7)),0))),"",IF(ROUND(MIN(IF($V$17&lt;&gt;$E$6,IF($V$8=F5,$V$2*M29,0),$V$2*3),$B$36-SUM($J$6:$J6)),0)&lt;0,0,ROUND(MIN(IF($V$17&lt;&gt;$E$6,IF($V$8=G5,$V$2*N29,0)+IF($V$8&lt;G5,$V$2*3,0),$V$2*3),$B$36-SUM($J$6:$J6)-SUM($F$7:F7)),0))),0)</f>
        <v/>
      </c>
      <c r="H7" s="6" t="str">
        <f>IF(IF(ISERROR(IF(ROUND(MIN(IF($V$17&lt;&gt;$E$6,IF($V$8=F5,$V$2*M29,0),$V$2*3),$B$36-SUM($J$6:$J6)),0)&lt;0,0,ROUND(MIN(IF($V$17&lt;&gt;$E$6,IF($V$8=H5,$V$2*O29,0)+IF($V$8&lt;H5,$V$2*3,0),$V$2*3),$B$36-SUM($J$6:$J6)-SUM($F$7:G7)),0))),"",IF(ROUND(MIN(IF($V$17&lt;&gt;$E$6,IF($V$8=F5,$V$2*M29,0),$V$2*3),$B$36-SUM($J$6:$J6)),0)&lt;0,0,ROUND(MIN(IF($V$17&lt;&gt;$E$6,IF($V$8=H5,$V$2*O29,0)+IF($V$8&lt;H5,$V$2*3,0),$V$2*3),$B$36-SUM($J$6:$J6)-SUM($F$7:G7)),0)))&gt;0,IF(ISERROR(IF(ROUND(MIN(IF($V$17&lt;&gt;$E$6,IF($V$8=F5,$V$2*M29,0),$V$2*3),$B$36-SUM($J$6:$J6)),0)&lt;0,0,ROUND(MIN(IF($V$17&lt;&gt;$E$6,IF($V$8=H5,$V$2*O29,0)+IF($V$8&lt;H5,$V$2*3,0),$V$2*3),$B$36-SUM($J$6:$J6)-SUM($F$7:G7)),0))),"",IF(ROUND(MIN(IF($V$17&lt;&gt;$E$6,IF($V$8=F5,$V$2*M29,0),$V$2*3),$B$36-SUM($J$6:$J6)),0)&lt;0,0,ROUND(MIN(IF($V$17&lt;&gt;$E$6,IF($V$8=H5,$V$2*O29,0)+IF($V$8&lt;H5,$V$2*3,0),$V$2*3),$B$36-SUM($J$6:$J6)-SUM($F$7:G7)),0))),0)</f>
        <v/>
      </c>
      <c r="I7" s="6" t="str">
        <f>IF(IF(ISERROR(IF(ROUND(MIN(IF($V$17&lt;&gt;$E$6,IF($V$8=F5,$V$2*M29,0),$V$2*3),$B$36-SUM($J$6:$J6)),0)&lt;0,0,ROUND(MIN(IF($V$17&lt;&gt;$E$6,IF($V$8=I5,$V$2*P29,0)+IF($V$8&lt;I5,$V$2*3,0),$V$2*3),$B$36-SUM($J$6:$J6)-SUM($F$7:H7)),0))),"",IF(ROUND(MIN(IF($V$17&lt;&gt;$E$6,IF($V$8=F5,$V$2*M29,0),$V$2*3),$B$36-SUM($J$6:$J6)),0)&lt;0,0,ROUND(MIN(IF($V$17&lt;&gt;$E$6,IF($V$8=I5,$V$2*P29,0)+IF($V$8&lt;I5,$V$2*3,0),$V$2*3),$B$36-SUM($J$6:$J6)-SUM($F$7:H7)),0)))&gt;0,IF(ISERROR(IF(ROUND(MIN(IF($V$17&lt;&gt;$E$6,IF($V$8=F5,$V$2*M29,0),$V$2*3),$B$36-SUM($J$6:$J6)),0)&lt;0,0,ROUND(MIN(IF($V$17&lt;&gt;$E$6,IF($V$8=I5,$V$2*P29,0)+IF($V$8&lt;I5,$V$2*3,0),$V$2*3),$B$36-SUM($J$6:$J6)-SUM($F$7:H7)),0))),"",IF(ROUND(MIN(IF($V$17&lt;&gt;$E$6,IF($V$8=F5,$V$2*M29,0),$V$2*3),$B$36-SUM($J$6:$J6)),0)&lt;0,0,ROUND(MIN(IF($V$17&lt;&gt;$E$6,IF($V$8=I5,$V$2*P29,0)+IF($V$8&lt;I5,$V$2*3,0),$V$2*3),$B$36-SUM($J$6:$J6)-SUM($F$7:H7)),0))),0)</f>
        <v/>
      </c>
      <c r="J7" s="7" t="str">
        <f>IF(E7="","",SUM(F7:I7))</f>
        <v/>
      </c>
      <c r="L7" s="18">
        <v>5</v>
      </c>
      <c r="M7" s="19">
        <v>2</v>
      </c>
      <c r="N7" s="19">
        <v>5</v>
      </c>
      <c r="O7" s="20">
        <v>2</v>
      </c>
      <c r="R7" s="5">
        <v>5</v>
      </c>
      <c r="S7" s="21" t="e">
        <f t="shared" si="0"/>
        <v>#VALUE!</v>
      </c>
      <c r="U7" s="16" t="s">
        <v>3</v>
      </c>
      <c r="V7" s="26" t="e">
        <f>(YEAR($B$19)-YEAR(DATE(YEAR($B$19)-1,MONTH($B$13),DAY($B$13))))*12+MONTH($B$19)-MONTH(DATE(YEAR($B$19)-1,MONTH($B$13),DAY($B$13)))</f>
        <v>#VALUE!</v>
      </c>
    </row>
    <row r="8" spans="1:22" ht="15" customHeight="1" x14ac:dyDescent="0.25">
      <c r="A8" s="153"/>
      <c r="B8" s="154"/>
      <c r="C8" s="155"/>
      <c r="E8" s="5" t="str">
        <f>IF(OR(F8="",F8=0),"",E7+1)</f>
        <v/>
      </c>
      <c r="F8" s="6" t="str">
        <f>IF(IF(OR(I7="",I7=0),"",IF(ROUND(MIN($V$2*3,$B$36-SUM($J$6:$J7)),0)&lt;0,0,ROUND(MIN($V$2*3,$B$36-SUM($J$6:$J7)),0)))&gt;0,IF(OR(I7="",I7=0),"",IF(ROUND(MIN($V$2*3,$B$36-SUM($J$6:$J7)),0)&lt;0,0,ROUND(MIN($V$2*3,$B$36-SUM($J$6:$J7)),0))),0)</f>
        <v/>
      </c>
      <c r="G8" s="6" t="str">
        <f>IF(IF(OR(F8="",F8=0),"",IF(ROUND(MIN($V$2*3,$B$36-SUM($J$6:$J7)-SUM($F8:F8)),0)&lt;0,0,ROUND(MIN($V$2*3,$B$36-SUM($J$6:$J7)-SUM($F8:F8)),0)))&gt;0,IF(OR(F8="",F8=0),"",IF(ROUND(MIN($V$2*3,$B$36-SUM($J$6:$J7)-SUM($F8:F8)),0)&lt;0,0,ROUND(MIN($V$2*3,$B$36-SUM($J$6:$J7)-SUM($F8:F8)),0))),0)</f>
        <v/>
      </c>
      <c r="H8" s="6" t="str">
        <f>IF(IF(OR(G8="",G8=0),"",IF(ROUND(MIN($V$2*3,$B$36-SUM($J$6:$J7)-SUM($F8:G8)),0)&lt;0,0,ROUND(MIN($V$2*3,$B$36-SUM($J$6:$J7)-SUM($F8:G8)),0)))&gt;0,IF(OR(G8="",G8=0),"",IF(ROUND(MIN($V$2*3,$B$36-SUM($J$6:$J7)-SUM($F8:G8)),0)&lt;0,0,ROUND(MIN($V$2*3,$B$36-SUM($J$6:$J7)-SUM($F8:G8)),0))),0)</f>
        <v/>
      </c>
      <c r="I8" s="6" t="str">
        <f>IF(IF(OR(H8="",H8=0),"",IF(ROUND(MIN($V$2*3,$B$36-SUM($J$6:$J7)-SUM($F8:H8)),0)&lt;0,0,ROUND(MIN($V$2*3,$B$36-SUM($J$6:$J7)-SUM($F8:H8)),0)))&gt;0,IF(OR(H8="",H8=0),"",IF(ROUND(MIN($V$2*3,$B$36-SUM($J$6:$J7)-SUM($F8:H8)),0)&lt;0,0,ROUND(MIN($V$2*3,$B$36-SUM($J$6:$J7)-SUM($F8:H8)),0))),0)</f>
        <v/>
      </c>
      <c r="J8" s="7" t="str">
        <f t="shared" ref="J8:J36" si="1">IF(E8="","",SUM(F8:I8))</f>
        <v/>
      </c>
      <c r="L8" s="18">
        <v>6</v>
      </c>
      <c r="M8" s="19">
        <v>2</v>
      </c>
      <c r="N8" s="19">
        <v>6</v>
      </c>
      <c r="O8" s="20">
        <v>1</v>
      </c>
      <c r="R8" s="5">
        <v>6</v>
      </c>
      <c r="S8" s="21" t="e">
        <f t="shared" si="0"/>
        <v>#VALUE!</v>
      </c>
      <c r="U8" s="22" t="s">
        <v>2</v>
      </c>
      <c r="V8" s="21" t="e">
        <f>LOOKUP(V7,$L$3:$L$26,$M$3:$M$26)</f>
        <v>#VALUE!</v>
      </c>
    </row>
    <row r="9" spans="1:22" ht="15" customHeight="1" thickBot="1" x14ac:dyDescent="0.3">
      <c r="A9" s="156"/>
      <c r="B9" s="157"/>
      <c r="C9" s="158"/>
      <c r="E9" s="5" t="str">
        <f t="shared" ref="E9:E36" si="2">IF(OR(F9="",F9=0),"",E8+1)</f>
        <v/>
      </c>
      <c r="F9" s="6" t="str">
        <f>IF(IF(OR(I8="",I8=0),"",IF(ROUND(MIN($V$2*3,$B$36-SUM($J$6:$J8)),0)&lt;0,0,ROUND(MIN($V$2*3,$B$36-SUM($J$6:$J8)),0)))&gt;0,IF(OR(I8="",I8=0),"",IF(ROUND(MIN($V$2*3,$B$36-SUM($J$6:$J8)),0)&lt;0,0,ROUND(MIN($V$2*3,$B$36-SUM($J$6:$J8)),0))),0)</f>
        <v/>
      </c>
      <c r="G9" s="6" t="str">
        <f>IF(IF(OR(F9="",F9=0),"",IF(ROUND(MIN($V$2*3,$B$36-SUM($J$6:$J8)-SUM($F9:F9)),0)&lt;0,0,ROUND(MIN($V$2*3,$B$36-SUM($J$6:$J8)-SUM($F9:F9)),0)))&gt;0,IF(OR(F9="",F9=0),"",IF(ROUND(MIN($V$2*3,$B$36-SUM($J$6:$J8)-SUM($F9:F9)),0)&lt;0,0,ROUND(MIN($V$2*3,$B$36-SUM($J$6:$J8)-SUM($F9:F9)),0))),0)</f>
        <v/>
      </c>
      <c r="H9" s="6" t="str">
        <f>IF(IF(OR(G9="",G9=0),"",IF(ROUND(MIN($V$2*3,$B$36-SUM($J$6:$J8)-SUM($F9:G9)),0)&lt;0,0,ROUND(MIN($V$2*3,$B$36-SUM($J$6:$J8)-SUM($F9:G9)),0)))&gt;0,IF(OR(G9="",G9=0),"",IF(ROUND(MIN($V$2*3,$B$36-SUM($J$6:$J8)-SUM($F9:G9)),0)&lt;0,0,ROUND(MIN($V$2*3,$B$36-SUM($J$6:$J8)-SUM($F9:G9)),0))),0)</f>
        <v/>
      </c>
      <c r="I9" s="6" t="str">
        <f>IF(IF(OR(H9="",H9=0),"",IF(ROUND(MIN($V$2*3,$B$36-SUM($J$6:$J8)-SUM($F9:H9)),0)&lt;0,0,ROUND(MIN($V$2*3,$B$36-SUM($J$6:$J8)-SUM($F9:H9)),0)))&gt;0,IF(OR(H9="",H9=0),"",IF(ROUND(MIN($V$2*3,$B$36-SUM($J$6:$J8)-SUM($F9:H9)),0)&lt;0,0,ROUND(MIN($V$2*3,$B$36-SUM($J$6:$J8)-SUM($F9:H9)),0))),0)</f>
        <v/>
      </c>
      <c r="J9" s="7" t="str">
        <f t="shared" si="1"/>
        <v/>
      </c>
      <c r="L9" s="18">
        <v>7</v>
      </c>
      <c r="M9" s="19">
        <v>3</v>
      </c>
      <c r="N9" s="19">
        <v>7</v>
      </c>
      <c r="O9" s="20">
        <v>3</v>
      </c>
      <c r="P9" s="30"/>
      <c r="Q9" s="30"/>
      <c r="R9" s="5">
        <v>7</v>
      </c>
      <c r="S9" s="21" t="e">
        <f t="shared" si="0"/>
        <v>#VALUE!</v>
      </c>
      <c r="U9" s="28" t="s">
        <v>9</v>
      </c>
      <c r="V9" s="29" t="e">
        <f>DATE(YEAR($B$42),MONTH($B$13),DAY($B$13))</f>
        <v>#VALUE!</v>
      </c>
    </row>
    <row r="10" spans="1:22" ht="12.75" customHeight="1" thickBot="1" x14ac:dyDescent="0.3">
      <c r="A10" s="70" t="s">
        <v>39</v>
      </c>
      <c r="B10" s="106"/>
      <c r="C10" s="72"/>
      <c r="E10" s="5" t="str">
        <f t="shared" si="2"/>
        <v/>
      </c>
      <c r="F10" s="6" t="str">
        <f>IF(IF(OR(I9="",I9=0),"",IF(ROUND(MIN($V$2*3,$B$36-SUM($J$6:$J9)),0)&lt;0,0,ROUND(MIN($V$2*3,$B$36-SUM($J$6:$J9)),0)))&gt;0,IF(OR(I9="",I9=0),"",IF(ROUND(MIN($V$2*3,$B$36-SUM($J$6:$J9)),0)&lt;0,0,ROUND(MIN($V$2*3,$B$36-SUM($J$6:$J9)),0))),0)</f>
        <v/>
      </c>
      <c r="G10" s="6" t="str">
        <f>IF(IF(OR(F10="",F10=0),"",IF(ROUND(MIN($V$2*3,$B$36-SUM($J$6:$J9)-SUM($F10:F10)),0)&lt;0,0,ROUND(MIN($V$2*3,$B$36-SUM($J$6:$J9)-SUM($F10:F10)),0)))&gt;0,IF(OR(F10="",F10=0),"",IF(ROUND(MIN($V$2*3,$B$36-SUM($J$6:$J9)-SUM($F10:F10)),0)&lt;0,0,ROUND(MIN($V$2*3,$B$36-SUM($J$6:$J9)-SUM($F10:F10)),0))),0)</f>
        <v/>
      </c>
      <c r="H10" s="6" t="str">
        <f>IF(IF(OR(G10="",G10=0),"",IF(ROUND(MIN($V$2*3,$B$36-SUM($J$6:$J9)-SUM($F10:G10)),0)&lt;0,0,ROUND(MIN($V$2*3,$B$36-SUM($J$6:$J9)-SUM($F10:G10)),0)))&gt;0,IF(OR(G10="",G10=0),"",IF(ROUND(MIN($V$2*3,$B$36-SUM($J$6:$J9)-SUM($F10:G10)),0)&lt;0,0,ROUND(MIN($V$2*3,$B$36-SUM($J$6:$J9)-SUM($F10:G10)),0))),0)</f>
        <v/>
      </c>
      <c r="I10" s="6" t="str">
        <f>IF(IF(OR(H10="",H10=0),"",IF(ROUND(MIN($V$2*3,$B$36-SUM($J$6:$J9)-SUM($F10:H10)),0)&lt;0,0,ROUND(MIN($V$2*3,$B$36-SUM($J$6:$J9)-SUM($F10:H10)),0)))&gt;0,IF(OR(H10="",H10=0),"",IF(ROUND(MIN($V$2*3,$B$36-SUM($J$6:$J9)-SUM($F10:H10)),0)&lt;0,0,ROUND(MIN($V$2*3,$B$36-SUM($J$6:$J9)-SUM($F10:H10)),0))),0)</f>
        <v/>
      </c>
      <c r="J10" s="7" t="str">
        <f t="shared" si="1"/>
        <v/>
      </c>
      <c r="L10" s="18">
        <v>8</v>
      </c>
      <c r="M10" s="19">
        <v>3</v>
      </c>
      <c r="N10" s="19">
        <v>8</v>
      </c>
      <c r="O10" s="20">
        <v>2</v>
      </c>
      <c r="R10" s="5">
        <v>8</v>
      </c>
      <c r="S10" s="21" t="e">
        <f t="shared" si="0"/>
        <v>#VALUE!</v>
      </c>
      <c r="U10" s="54"/>
    </row>
    <row r="11" spans="1:22" ht="12.75" customHeight="1" thickBot="1" x14ac:dyDescent="0.3">
      <c r="A11" s="73" t="s">
        <v>12</v>
      </c>
      <c r="B11" s="107" t="str">
        <f>IF('HP Equipment 1'!B11="","",'HP Equipment 1'!B11)</f>
        <v/>
      </c>
      <c r="C11" s="74"/>
      <c r="E11" s="5" t="str">
        <f t="shared" si="2"/>
        <v/>
      </c>
      <c r="F11" s="6" t="str">
        <f>IF(IF(OR(I10="",I10=0),"",IF(ROUND(MIN($V$2*3,$B$36-SUM($J$6:$J10)),0)&lt;0,0,ROUND(MIN($V$2*3,$B$36-SUM($J$6:$J10)),0)))&gt;0,IF(OR(I10="",I10=0),"",IF(ROUND(MIN($V$2*3,$B$36-SUM($J$6:$J10)),0)&lt;0,0,ROUND(MIN($V$2*3,$B$36-SUM($J$6:$J10)),0))),0)</f>
        <v/>
      </c>
      <c r="G11" s="6" t="str">
        <f>IF(IF(OR(F11="",F11=0),"",IF(ROUND(MIN($V$2*3,$B$36-SUM($J$6:$J10)-SUM($F11:F11)),0)&lt;0,0,ROUND(MIN($V$2*3,$B$36-SUM($J$6:$J10)-SUM($F11:F11)),0)))&gt;0,IF(OR(F11="",F11=0),"",IF(ROUND(MIN($V$2*3,$B$36-SUM($J$6:$J10)-SUM($F11:F11)),0)&lt;0,0,ROUND(MIN($V$2*3,$B$36-SUM($J$6:$J10)-SUM($F11:F11)),0))),0)</f>
        <v/>
      </c>
      <c r="H11" s="6" t="str">
        <f>IF(IF(OR(G11="",G11=0),"",IF(ROUND(MIN($V$2*3,$B$36-SUM($J$6:$J10)-SUM($F11:G11)),0)&lt;0,0,ROUND(MIN($V$2*3,$B$36-SUM($J$6:$J10)-SUM($F11:G11)),0)))&gt;0,IF(OR(G11="",G11=0),"",IF(ROUND(MIN($V$2*3,$B$36-SUM($J$6:$J10)-SUM($F11:G11)),0)&lt;0,0,ROUND(MIN($V$2*3,$B$36-SUM($J$6:$J10)-SUM($F11:G11)),0))),0)</f>
        <v/>
      </c>
      <c r="I11" s="6" t="str">
        <f>IF(IF(OR(H11="",H11=0),"",IF(ROUND(MIN($V$2*3,$B$36-SUM($J$6:$J10)-SUM($F11:H11)),0)&lt;0,0,ROUND(MIN($V$2*3,$B$36-SUM($J$6:$J10)-SUM($F11:H11)),0)))&gt;0,IF(OR(H11="",H11=0),"",IF(ROUND(MIN($V$2*3,$B$36-SUM($J$6:$J10)-SUM($F11:H11)),0)&lt;0,0,ROUND(MIN($V$2*3,$B$36-SUM($J$6:$J10)-SUM($F11:H11)),0))),0)</f>
        <v/>
      </c>
      <c r="J11" s="7" t="str">
        <f t="shared" si="1"/>
        <v/>
      </c>
      <c r="L11" s="18">
        <v>9</v>
      </c>
      <c r="M11" s="19">
        <v>3</v>
      </c>
      <c r="N11" s="19">
        <v>9</v>
      </c>
      <c r="O11" s="20">
        <v>1</v>
      </c>
      <c r="R11" s="5">
        <v>9</v>
      </c>
      <c r="S11" s="21" t="e">
        <f t="shared" si="0"/>
        <v>#VALUE!</v>
      </c>
      <c r="U11" s="1" t="s">
        <v>46</v>
      </c>
    </row>
    <row r="12" spans="1:22" ht="12.75" customHeight="1" x14ac:dyDescent="0.25">
      <c r="A12" s="73" t="s">
        <v>13</v>
      </c>
      <c r="B12" s="58" t="str">
        <f>IF('HP Equipment 1'!B12="","",'HP Equipment 1'!B12)</f>
        <v/>
      </c>
      <c r="C12" s="74"/>
      <c r="E12" s="5" t="str">
        <f t="shared" si="2"/>
        <v/>
      </c>
      <c r="F12" s="6" t="str">
        <f>IF(IF(OR(I11="",I11=0),"",IF(ROUND(MIN($V$2*3,$B$36-SUM($J$6:$J11)),0)&lt;0,0,ROUND(MIN($V$2*3,$B$36-SUM($J$6:$J11)),0)))&gt;0,IF(OR(I11="",I11=0),"",IF(ROUND(MIN($V$2*3,$B$36-SUM($J$6:$J11)),0)&lt;0,0,ROUND(MIN($V$2*3,$B$36-SUM($J$6:$J11)),0))),0)</f>
        <v/>
      </c>
      <c r="G12" s="6" t="str">
        <f>IF(IF(OR(F12="",F12=0),"",IF(ROUND(MIN($V$2*3,$B$36-SUM($J$6:$J11)-SUM($F12:F12)),0)&lt;0,0,ROUND(MIN($V$2*3,$B$36-SUM($J$6:$J11)-SUM($F12:F12)),0)))&gt;0,IF(OR(F12="",F12=0),"",IF(ROUND(MIN($V$2*3,$B$36-SUM($J$6:$J11)-SUM($F12:F12)),0)&lt;0,0,ROUND(MIN($V$2*3,$B$36-SUM($J$6:$J11)-SUM($F12:F12)),0))),0)</f>
        <v/>
      </c>
      <c r="H12" s="6" t="str">
        <f>IF(IF(OR(G12="",G12=0),"",IF(ROUND(MIN($V$2*3,$B$36-SUM($J$6:$J11)-SUM($F12:G12)),0)&lt;0,0,ROUND(MIN($V$2*3,$B$36-SUM($J$6:$J11)-SUM($F12:G12)),0)))&gt;0,IF(OR(G12="",G12=0),"",IF(ROUND(MIN($V$2*3,$B$36-SUM($J$6:$J11)-SUM($F12:G12)),0)&lt;0,0,ROUND(MIN($V$2*3,$B$36-SUM($J$6:$J11)-SUM($F12:G12)),0))),0)</f>
        <v/>
      </c>
      <c r="I12" s="6" t="str">
        <f>IF(IF(OR(H12="",H12=0),"",IF(ROUND(MIN($V$2*3,$B$36-SUM($J$6:$J11)-SUM($F12:H12)),0)&lt;0,0,ROUND(MIN($V$2*3,$B$36-SUM($J$6:$J11)-SUM($F12:H12)),0)))&gt;0,IF(OR(H12="",H12=0),"",IF(ROUND(MIN($V$2*3,$B$36-SUM($J$6:$J11)-SUM($F12:H12)),0)&lt;0,0,ROUND(MIN($V$2*3,$B$36-SUM($J$6:$J11)-SUM($F12:H12)),0))),0)</f>
        <v/>
      </c>
      <c r="J12" s="7" t="str">
        <f t="shared" si="1"/>
        <v/>
      </c>
      <c r="L12" s="18">
        <v>10</v>
      </c>
      <c r="M12" s="19">
        <v>4</v>
      </c>
      <c r="N12" s="19">
        <v>10</v>
      </c>
      <c r="O12" s="20">
        <v>3</v>
      </c>
      <c r="P12" s="30"/>
      <c r="Q12" s="30"/>
      <c r="R12" s="5">
        <v>10</v>
      </c>
      <c r="S12" s="21" t="e">
        <f t="shared" si="0"/>
        <v>#VALUE!</v>
      </c>
      <c r="U12" s="16" t="s">
        <v>3</v>
      </c>
      <c r="V12" s="26" t="e">
        <f>(YEAR($B$18)-YEAR(DATE(YEAR($B$18)-1,MONTH($B$13),DAY($B$13))))*12+MONTH($B$18)-MONTH(DATE(YEAR($B$18)-1,MONTH($B$13),DAY($B$13)))</f>
        <v>#VALUE!</v>
      </c>
    </row>
    <row r="13" spans="1:22" ht="12.75" customHeight="1" x14ac:dyDescent="0.25">
      <c r="A13" s="73" t="s">
        <v>14</v>
      </c>
      <c r="B13" s="110" t="str">
        <f>IF('HP Equipment 1'!B13="","",'HP Equipment 1'!B13)</f>
        <v/>
      </c>
      <c r="C13" s="74"/>
      <c r="E13" s="5" t="str">
        <f t="shared" si="2"/>
        <v/>
      </c>
      <c r="F13" s="6" t="str">
        <f>IF(IF(OR(I12="",I12=0),"",IF(ROUND(MIN($V$2*3,$B$36-SUM($J$6:$J12)),0)&lt;0,0,ROUND(MIN($V$2*3,$B$36-SUM($J$6:$J12)),0)))&gt;0,IF(OR(I12="",I12=0),"",IF(ROUND(MIN($V$2*3,$B$36-SUM($J$6:$J12)),0)&lt;0,0,ROUND(MIN($V$2*3,$B$36-SUM($J$6:$J12)),0))),0)</f>
        <v/>
      </c>
      <c r="G13" s="6" t="str">
        <f>IF(IF(OR(F13="",F13=0),"",IF(ROUND(MIN($V$2*3,$B$36-SUM($J$6:$J12)-SUM($F13:F13)),0)&lt;0,0,ROUND(MIN($V$2*3,$B$36-SUM($J$6:$J12)-SUM($F13:F13)),0)))&gt;0,IF(OR(F13="",F13=0),"",IF(ROUND(MIN($V$2*3,$B$36-SUM($J$6:$J12)-SUM($F13:F13)),0)&lt;0,0,ROUND(MIN($V$2*3,$B$36-SUM($J$6:$J12)-SUM($F13:F13)),0))),0)</f>
        <v/>
      </c>
      <c r="H13" s="6" t="str">
        <f>IF(IF(OR(G13="",G13=0),"",IF(ROUND(MIN($V$2*3,$B$36-SUM($J$6:$J12)-SUM($F13:G13)),0)&lt;0,0,ROUND(MIN($V$2*3,$B$36-SUM($J$6:$J12)-SUM($F13:G13)),0)))&gt;0,IF(OR(G13="",G13=0),"",IF(ROUND(MIN($V$2*3,$B$36-SUM($J$6:$J12)-SUM($F13:G13)),0)&lt;0,0,ROUND(MIN($V$2*3,$B$36-SUM($J$6:$J12)-SUM($F13:G13)),0))),0)</f>
        <v/>
      </c>
      <c r="I13" s="6" t="str">
        <f>IF(IF(OR(H13="",H13=0),"",IF(ROUND(MIN($V$2*3,$B$36-SUM($J$6:$J12)-SUM($F13:H13)),0)&lt;0,0,ROUND(MIN($V$2*3,$B$36-SUM($J$6:$J12)-SUM($F13:H13)),0)))&gt;0,IF(OR(H13="",H13=0),"",IF(ROUND(MIN($V$2*3,$B$36-SUM($J$6:$J12)-SUM($F13:H13)),0)&lt;0,0,ROUND(MIN($V$2*3,$B$36-SUM($J$6:$J12)-SUM($F13:H13)),0))),0)</f>
        <v/>
      </c>
      <c r="J13" s="7" t="str">
        <f t="shared" si="1"/>
        <v/>
      </c>
      <c r="L13" s="18">
        <v>11</v>
      </c>
      <c r="M13" s="19">
        <v>4</v>
      </c>
      <c r="N13" s="19">
        <v>11</v>
      </c>
      <c r="O13" s="20">
        <v>2</v>
      </c>
      <c r="P13" s="30"/>
      <c r="Q13" s="30"/>
      <c r="R13" s="5">
        <v>11</v>
      </c>
      <c r="S13" s="21" t="e">
        <f t="shared" si="0"/>
        <v>#VALUE!</v>
      </c>
      <c r="U13" s="22" t="s">
        <v>2</v>
      </c>
      <c r="V13" s="21" t="e">
        <f>LOOKUP(V12,$L$3:$L$26,$M$3:$M$26)</f>
        <v>#VALUE!</v>
      </c>
    </row>
    <row r="14" spans="1:22" ht="12.75" customHeight="1" thickBot="1" x14ac:dyDescent="0.3">
      <c r="A14" s="73" t="s">
        <v>86</v>
      </c>
      <c r="B14" s="58" t="str">
        <f>IF('HP Equipment 1'!B14="","",'HP Equipment 1'!B14)</f>
        <v/>
      </c>
      <c r="C14" s="74"/>
      <c r="E14" s="5" t="str">
        <f t="shared" si="2"/>
        <v/>
      </c>
      <c r="F14" s="6" t="str">
        <f>IF(IF(OR(I13="",I13=0),"",IF(ROUND(MIN($V$2*3,$B$36-SUM($J$6:$J13)),0)&lt;0,0,ROUND(MIN($V$2*3,$B$36-SUM($J$6:$J13)),0)))&gt;0,IF(OR(I13="",I13=0),"",IF(ROUND(MIN($V$2*3,$B$36-SUM($J$6:$J13)),0)&lt;0,0,ROUND(MIN($V$2*3,$B$36-SUM($J$6:$J13)),0))),0)</f>
        <v/>
      </c>
      <c r="G14" s="6" t="str">
        <f>IF(IF(OR(F14="",F14=0),"",IF(ROUND(MIN($V$2*3,$B$36-SUM($J$6:$J13)-SUM($F14:F14)),0)&lt;0,0,ROUND(MIN($V$2*3,$B$36-SUM($J$6:$J13)-SUM($F14:F14)),0)))&gt;0,IF(OR(F14="",F14=0),"",IF(ROUND(MIN($V$2*3,$B$36-SUM($J$6:$J13)-SUM($F14:F14)),0)&lt;0,0,ROUND(MIN($V$2*3,$B$36-SUM($J$6:$J13)-SUM($F14:F14)),0))),0)</f>
        <v/>
      </c>
      <c r="H14" s="6" t="str">
        <f>IF(IF(OR(G14="",G14=0),"",IF(ROUND(MIN($V$2*3,$B$36-SUM($J$6:$J13)-SUM($F14:G14)),0)&lt;0,0,ROUND(MIN($V$2*3,$B$36-SUM($J$6:$J13)-SUM($F14:G14)),0)))&gt;0,IF(OR(G14="",G14=0),"",IF(ROUND(MIN($V$2*3,$B$36-SUM($J$6:$J13)-SUM($F14:G14)),0)&lt;0,0,ROUND(MIN($V$2*3,$B$36-SUM($J$6:$J13)-SUM($F14:G14)),0))),0)</f>
        <v/>
      </c>
      <c r="I14" s="6" t="str">
        <f>IF(IF(OR(H14="",H14=0),"",IF(ROUND(MIN($V$2*3,$B$36-SUM($J$6:$J13)-SUM($F14:H14)),0)&lt;0,0,ROUND(MIN($V$2*3,$B$36-SUM($J$6:$J13)-SUM($F14:H14)),0)))&gt;0,IF(OR(H14="",H14=0),"",IF(ROUND(MIN($V$2*3,$B$36-SUM($J$6:$J13)-SUM($F14:H14)),0)&lt;0,0,ROUND(MIN($V$2*3,$B$36-SUM($J$6:$J13)-SUM($F14:H14)),0))),0)</f>
        <v/>
      </c>
      <c r="J14" s="7" t="str">
        <f t="shared" si="1"/>
        <v/>
      </c>
      <c r="L14" s="18">
        <v>12</v>
      </c>
      <c r="M14" s="19">
        <v>4</v>
      </c>
      <c r="N14" s="19">
        <v>12</v>
      </c>
      <c r="O14" s="20">
        <v>1</v>
      </c>
      <c r="R14" s="5">
        <v>12</v>
      </c>
      <c r="S14" s="21" t="e">
        <f t="shared" si="0"/>
        <v>#VALUE!</v>
      </c>
      <c r="U14" s="28" t="s">
        <v>9</v>
      </c>
      <c r="V14" s="29" t="e">
        <f>DATE(YEAR($B$42),MONTH($B$13),DAY($B$13))</f>
        <v>#VALUE!</v>
      </c>
    </row>
    <row r="15" spans="1:22" ht="12.75" customHeight="1" thickBot="1" x14ac:dyDescent="0.3">
      <c r="A15" s="73"/>
      <c r="B15" s="58"/>
      <c r="C15" s="74"/>
      <c r="E15" s="5" t="str">
        <f t="shared" si="2"/>
        <v/>
      </c>
      <c r="F15" s="6" t="str">
        <f>IF(IF(OR(I14="",I14=0),"",IF(ROUND(MIN($V$2*3,$B$36-SUM($J$6:$J14)),0)&lt;0,0,ROUND(MIN($V$2*3,$B$36-SUM($J$6:$J14)),0)))&gt;0,IF(OR(I14="",I14=0),"",IF(ROUND(MIN($V$2*3,$B$36-SUM($J$6:$J14)),0)&lt;0,0,ROUND(MIN($V$2*3,$B$36-SUM($J$6:$J14)),0))),0)</f>
        <v/>
      </c>
      <c r="G15" s="6" t="str">
        <f>IF(IF(OR(F15="",F15=0),"",IF(ROUND(MIN($V$2*3,$B$36-SUM($J$6:$J14)-SUM($F15:F15)),0)&lt;0,0,ROUND(MIN($V$2*3,$B$36-SUM($J$6:$J14)-SUM($F15:F15)),0)))&gt;0,IF(OR(F15="",F15=0),"",IF(ROUND(MIN($V$2*3,$B$36-SUM($J$6:$J14)-SUM($F15:F15)),0)&lt;0,0,ROUND(MIN($V$2*3,$B$36-SUM($J$6:$J14)-SUM($F15:F15)),0))),0)</f>
        <v/>
      </c>
      <c r="H15" s="6" t="str">
        <f>IF(IF(OR(G15="",G15=0),"",IF(ROUND(MIN($V$2*3,$B$36-SUM($J$6:$J14)-SUM($F15:G15)),0)&lt;0,0,ROUND(MIN($V$2*3,$B$36-SUM($J$6:$J14)-SUM($F15:G15)),0)))&gt;0,IF(OR(G15="",G15=0),"",IF(ROUND(MIN($V$2*3,$B$36-SUM($J$6:$J14)-SUM($F15:G15)),0)&lt;0,0,ROUND(MIN($V$2*3,$B$36-SUM($J$6:$J14)-SUM($F15:G15)),0))),0)</f>
        <v/>
      </c>
      <c r="I15" s="6" t="str">
        <f>IF(IF(OR(H15="",H15=0),"",IF(ROUND(MIN($V$2*3,$B$36-SUM($J$6:$J14)-SUM($F15:H15)),0)&lt;0,0,ROUND(MIN($V$2*3,$B$36-SUM($J$6:$J14)-SUM($F15:H15)),0)))&gt;0,IF(OR(H15="",H15=0),"",IF(ROUND(MIN($V$2*3,$B$36-SUM($J$6:$J14)-SUM($F15:H15)),0)&lt;0,0,ROUND(MIN($V$2*3,$B$36-SUM($J$6:$J14)-SUM($F15:H15)),0))),0)</f>
        <v/>
      </c>
      <c r="J15" s="7" t="str">
        <f t="shared" si="1"/>
        <v/>
      </c>
      <c r="L15" s="18">
        <v>13</v>
      </c>
      <c r="M15" s="19">
        <v>1</v>
      </c>
      <c r="N15" s="19">
        <v>13</v>
      </c>
      <c r="O15" s="20">
        <v>3</v>
      </c>
      <c r="R15" s="5">
        <v>13</v>
      </c>
      <c r="S15" s="21" t="e">
        <f t="shared" si="0"/>
        <v>#VALUE!</v>
      </c>
    </row>
    <row r="16" spans="1:22" ht="13.8" thickBot="1" x14ac:dyDescent="0.3">
      <c r="A16" s="70" t="s">
        <v>41</v>
      </c>
      <c r="B16" s="95"/>
      <c r="C16" s="72"/>
      <c r="E16" s="5" t="str">
        <f t="shared" si="2"/>
        <v/>
      </c>
      <c r="F16" s="6" t="str">
        <f>IF(IF(OR(I15="",I15=0),"",IF(ROUND(MIN($V$2*3,$B$36-SUM($J$6:$J15)),0)&lt;0,0,ROUND(MIN($V$2*3,$B$36-SUM($J$6:$J15)),0)))&gt;0,IF(OR(I15="",I15=0),"",IF(ROUND(MIN($V$2*3,$B$36-SUM($J$6:$J15)),0)&lt;0,0,ROUND(MIN($V$2*3,$B$36-SUM($J$6:$J15)),0))),0)</f>
        <v/>
      </c>
      <c r="G16" s="6" t="str">
        <f>IF(IF(OR(F16="",F16=0),"",IF(ROUND(MIN($V$2*3,$B$36-SUM($J$6:$J15)-SUM($F16:F16)),0)&lt;0,0,ROUND(MIN($V$2*3,$B$36-SUM($J$6:$J15)-SUM($F16:F16)),0)))&gt;0,IF(OR(F16="",F16=0),"",IF(ROUND(MIN($V$2*3,$B$36-SUM($J$6:$J15)-SUM($F16:F16)),0)&lt;0,0,ROUND(MIN($V$2*3,$B$36-SUM($J$6:$J15)-SUM($F16:F16)),0))),0)</f>
        <v/>
      </c>
      <c r="H16" s="6" t="str">
        <f>IF(IF(OR(G16="",G16=0),"",IF(ROUND(MIN($V$2*3,$B$36-SUM($J$6:$J15)-SUM($F16:G16)),0)&lt;0,0,ROUND(MIN($V$2*3,$B$36-SUM($J$6:$J15)-SUM($F16:G16)),0)))&gt;0,IF(OR(G16="",G16=0),"",IF(ROUND(MIN($V$2*3,$B$36-SUM($J$6:$J15)-SUM($F16:G16)),0)&lt;0,0,ROUND(MIN($V$2*3,$B$36-SUM($J$6:$J15)-SUM($F16:G16)),0))),0)</f>
        <v/>
      </c>
      <c r="I16" s="6" t="str">
        <f>IF(IF(OR(H16="",H16=0),"",IF(ROUND(MIN($V$2*3,$B$36-SUM($J$6:$J15)-SUM($F16:H16)),0)&lt;0,0,ROUND(MIN($V$2*3,$B$36-SUM($J$6:$J15)-SUM($F16:H16)),0)))&gt;0,IF(OR(H16="",H16=0),"",IF(ROUND(MIN($V$2*3,$B$36-SUM($J$6:$J15)-SUM($F16:H16)),0)&lt;0,0,ROUND(MIN($V$2*3,$B$36-SUM($J$6:$J15)-SUM($F16:H16)),0))),0)</f>
        <v/>
      </c>
      <c r="J16" s="7" t="str">
        <f t="shared" si="1"/>
        <v/>
      </c>
      <c r="L16" s="18">
        <v>14</v>
      </c>
      <c r="M16" s="19">
        <v>1</v>
      </c>
      <c r="N16" s="19">
        <v>14</v>
      </c>
      <c r="O16" s="20">
        <v>2</v>
      </c>
      <c r="R16" s="5">
        <v>14</v>
      </c>
      <c r="S16" s="21" t="e">
        <f t="shared" si="0"/>
        <v>#VALUE!</v>
      </c>
      <c r="U16" s="1" t="s">
        <v>49</v>
      </c>
    </row>
    <row r="17" spans="1:34" ht="12" customHeight="1" x14ac:dyDescent="0.25">
      <c r="A17" s="73" t="s">
        <v>27</v>
      </c>
      <c r="B17" s="75"/>
      <c r="C17" s="74"/>
      <c r="E17" s="5" t="str">
        <f t="shared" si="2"/>
        <v/>
      </c>
      <c r="F17" s="6" t="str">
        <f>IF(IF(OR(I16="",I16=0),"",IF(ROUND(MIN($V$2*3,$B$36-SUM($J$6:$J16)),0)&lt;0,0,ROUND(MIN($V$2*3,$B$36-SUM($J$6:$J16)),0)))&gt;0,IF(OR(I16="",I16=0),"",IF(ROUND(MIN($V$2*3,$B$36-SUM($J$6:$J16)),0)&lt;0,0,ROUND(MIN($V$2*3,$B$36-SUM($J$6:$J16)),0))),0)</f>
        <v/>
      </c>
      <c r="G17" s="6" t="str">
        <f>IF(IF(OR(F17="",F17=0),"",IF(ROUND(MIN($V$2*3,$B$36-SUM($J$6:$J16)-SUM($F17:F17)),0)&lt;0,0,ROUND(MIN($V$2*3,$B$36-SUM($J$6:$J16)-SUM($F17:F17)),0)))&gt;0,IF(OR(F17="",F17=0),"",IF(ROUND(MIN($V$2*3,$B$36-SUM($J$6:$J16)-SUM($F17:F17)),0)&lt;0,0,ROUND(MIN($V$2*3,$B$36-SUM($J$6:$J16)-SUM($F17:F17)),0))),0)</f>
        <v/>
      </c>
      <c r="H17" s="6" t="str">
        <f>IF(IF(OR(G17="",G17=0),"",IF(ROUND(MIN($V$2*3,$B$36-SUM($J$6:$J16)-SUM($F17:G17)),0)&lt;0,0,ROUND(MIN($V$2*3,$B$36-SUM($J$6:$J16)-SUM($F17:G17)),0)))&gt;0,IF(OR(G17="",G17=0),"",IF(ROUND(MIN($V$2*3,$B$36-SUM($J$6:$J16)-SUM($F17:G17)),0)&lt;0,0,ROUND(MIN($V$2*3,$B$36-SUM($J$6:$J16)-SUM($F17:G17)),0))),0)</f>
        <v/>
      </c>
      <c r="I17" s="6" t="str">
        <f>IF(IF(OR(H17="",H17=0),"",IF(ROUND(MIN($V$2*3,$B$36-SUM($J$6:$J16)-SUM($F17:H17)),0)&lt;0,0,ROUND(MIN($V$2*3,$B$36-SUM($J$6:$J16)-SUM($F17:H17)),0)))&gt;0,IF(OR(H17="",H17=0),"",IF(ROUND(MIN($V$2*3,$B$36-SUM($J$6:$J16)-SUM($F17:H17)),0)&lt;0,0,ROUND(MIN($V$2*3,$B$36-SUM($J$6:$J16)-SUM($F17:H17)),0))),0)</f>
        <v/>
      </c>
      <c r="J17" s="7" t="str">
        <f t="shared" si="1"/>
        <v/>
      </c>
      <c r="L17" s="18">
        <v>15</v>
      </c>
      <c r="M17" s="19">
        <v>1</v>
      </c>
      <c r="N17" s="19">
        <v>15</v>
      </c>
      <c r="O17" s="20">
        <v>1</v>
      </c>
      <c r="R17" s="5">
        <v>15</v>
      </c>
      <c r="S17" s="21" t="e">
        <f t="shared" si="0"/>
        <v>#VALUE!</v>
      </c>
      <c r="U17" s="104" t="s">
        <v>0</v>
      </c>
      <c r="V17" s="34" t="str">
        <f>IF(ISERROR(IF(B19&gt;V18,YEAR(V18)+2,YEAR(V18)+1)),"Please enter the correct relevant period",IF(B19&gt;V18,YEAR(V18)+2,YEAR(V18)+1))</f>
        <v>Please enter the correct relevant period</v>
      </c>
    </row>
    <row r="18" spans="1:34" ht="12" customHeight="1" thickBot="1" x14ac:dyDescent="0.3">
      <c r="A18" s="105" t="s">
        <v>48</v>
      </c>
      <c r="B18" s="76"/>
      <c r="C18" s="74"/>
      <c r="E18" s="5" t="str">
        <f t="shared" si="2"/>
        <v/>
      </c>
      <c r="F18" s="6" t="str">
        <f>IF(IF(OR(I17="",I17=0),"",IF(ROUND(MIN($V$2*3,$B$36-SUM($J$6:$J17)),0)&lt;0,0,ROUND(MIN($V$2*3,$B$36-SUM($J$6:$J17)),0)))&gt;0,IF(OR(I17="",I17=0),"",IF(ROUND(MIN($V$2*3,$B$36-SUM($J$6:$J17)),0)&lt;0,0,ROUND(MIN($V$2*3,$B$36-SUM($J$6:$J17)),0))),0)</f>
        <v/>
      </c>
      <c r="G18" s="6" t="str">
        <f>IF(IF(OR(F18="",F18=0),"",IF(ROUND(MIN($V$2*3,$B$36-SUM($J$6:$J17)-SUM($F18:F18)),0)&lt;0,0,ROUND(MIN($V$2*3,$B$36-SUM($J$6:$J17)-SUM($F18:F18)),0)))&gt;0,IF(OR(F18="",F18=0),"",IF(ROUND(MIN($V$2*3,$B$36-SUM($J$6:$J17)-SUM($F18:F18)),0)&lt;0,0,ROUND(MIN($V$2*3,$B$36-SUM($J$6:$J17)-SUM($F18:F18)),0))),0)</f>
        <v/>
      </c>
      <c r="H18" s="6" t="str">
        <f>IF(IF(OR(G18="",G18=0),"",IF(ROUND(MIN($V$2*3,$B$36-SUM($J$6:$J17)-SUM($F18:G18)),0)&lt;0,0,ROUND(MIN($V$2*3,$B$36-SUM($J$6:$J17)-SUM($F18:G18)),0)))&gt;0,IF(OR(G18="",G18=0),"",IF(ROUND(MIN($V$2*3,$B$36-SUM($J$6:$J17)-SUM($F18:G18)),0)&lt;0,0,ROUND(MIN($V$2*3,$B$36-SUM($J$6:$J17)-SUM($F18:G18)),0))),0)</f>
        <v/>
      </c>
      <c r="I18" s="6" t="str">
        <f>IF(IF(OR(H18="",H18=0),"",IF(ROUND(MIN($V$2*3,$B$36-SUM($J$6:$J17)-SUM($F18:H18)),0)&lt;0,0,ROUND(MIN($V$2*3,$B$36-SUM($J$6:$J17)-SUM($F18:H18)),0)))&gt;0,IF(OR(H18="",H18=0),"",IF(ROUND(MIN($V$2*3,$B$36-SUM($J$6:$J17)-SUM($F18:H18)),0)&lt;0,0,ROUND(MIN($V$2*3,$B$36-SUM($J$6:$J17)-SUM($F18:H18)),0))),0)</f>
        <v/>
      </c>
      <c r="J18" s="7" t="str">
        <f t="shared" si="1"/>
        <v/>
      </c>
      <c r="L18" s="18">
        <v>16</v>
      </c>
      <c r="M18" s="19">
        <v>2</v>
      </c>
      <c r="N18" s="19">
        <v>16</v>
      </c>
      <c r="O18" s="20">
        <v>3</v>
      </c>
      <c r="R18" s="5">
        <v>16</v>
      </c>
      <c r="S18" s="21" t="e">
        <f t="shared" si="0"/>
        <v>#VALUE!</v>
      </c>
      <c r="U18" s="28" t="s">
        <v>9</v>
      </c>
      <c r="V18" s="103" t="e">
        <f>DATE(YEAR($B$19),MONTH($B$13),DAY($B$13))</f>
        <v>#VALUE!</v>
      </c>
    </row>
    <row r="19" spans="1:34" ht="12" customHeight="1" x14ac:dyDescent="0.25">
      <c r="A19" s="73" t="s">
        <v>47</v>
      </c>
      <c r="B19" s="77"/>
      <c r="C19" s="74"/>
      <c r="E19" s="5" t="str">
        <f t="shared" si="2"/>
        <v/>
      </c>
      <c r="F19" s="6" t="str">
        <f>IF(IF(OR(I18="",I18=0),"",IF(ROUND(MIN($V$2*3,$B$36-SUM($J$6:$J18)),0)&lt;0,0,ROUND(MIN($V$2*3,$B$36-SUM($J$6:$J18)),0)))&gt;0,IF(OR(I18="",I18=0),"",IF(ROUND(MIN($V$2*3,$B$36-SUM($J$6:$J18)),0)&lt;0,0,ROUND(MIN($V$2*3,$B$36-SUM($J$6:$J18)),0))),0)</f>
        <v/>
      </c>
      <c r="G19" s="6" t="str">
        <f>IF(IF(OR(F19="",F19=0),"",IF(ROUND(MIN($V$2*3,$B$36-SUM($J$6:$J18)-SUM($F19:F19)),0)&lt;0,0,ROUND(MIN($V$2*3,$B$36-SUM($J$6:$J18)-SUM($F19:F19)),0)))&gt;0,IF(OR(F19="",F19=0),"",IF(ROUND(MIN($V$2*3,$B$36-SUM($J$6:$J18)-SUM($F19:F19)),0)&lt;0,0,ROUND(MIN($V$2*3,$B$36-SUM($J$6:$J18)-SUM($F19:F19)),0))),0)</f>
        <v/>
      </c>
      <c r="H19" s="6" t="str">
        <f>IF(IF(OR(G19="",G19=0),"",IF(ROUND(MIN($V$2*3,$B$36-SUM($J$6:$J18)-SUM($F19:G19)),0)&lt;0,0,ROUND(MIN($V$2*3,$B$36-SUM($J$6:$J18)-SUM($F19:G19)),0)))&gt;0,IF(OR(G19="",G19=0),"",IF(ROUND(MIN($V$2*3,$B$36-SUM($J$6:$J18)-SUM($F19:G19)),0)&lt;0,0,ROUND(MIN($V$2*3,$B$36-SUM($J$6:$J18)-SUM($F19:G19)),0))),0)</f>
        <v/>
      </c>
      <c r="I19" s="6" t="str">
        <f>IF(IF(OR(H19="",H19=0),"",IF(ROUND(MIN($V$2*3,$B$36-SUM($J$6:$J18)-SUM($F19:H19)),0)&lt;0,0,ROUND(MIN($V$2*3,$B$36-SUM($J$6:$J18)-SUM($F19:H19)),0)))&gt;0,IF(OR(H19="",H19=0),"",IF(ROUND(MIN($V$2*3,$B$36-SUM($J$6:$J18)-SUM($F19:H19)),0)&lt;0,0,ROUND(MIN($V$2*3,$B$36-SUM($J$6:$J18)-SUM($F19:H19)),0))),0)</f>
        <v/>
      </c>
      <c r="J19" s="7" t="str">
        <f t="shared" si="1"/>
        <v/>
      </c>
      <c r="L19" s="18">
        <v>17</v>
      </c>
      <c r="M19" s="19">
        <v>2</v>
      </c>
      <c r="N19" s="19">
        <v>17</v>
      </c>
      <c r="O19" s="20">
        <v>2</v>
      </c>
      <c r="R19" s="5">
        <v>17</v>
      </c>
      <c r="S19" s="21" t="e">
        <f t="shared" si="0"/>
        <v>#VALUE!</v>
      </c>
    </row>
    <row r="20" spans="1:34" ht="12" customHeight="1" thickBot="1" x14ac:dyDescent="0.3">
      <c r="A20" s="73" t="s">
        <v>26</v>
      </c>
      <c r="B20" s="78"/>
      <c r="C20" s="74"/>
      <c r="E20" s="5" t="str">
        <f t="shared" si="2"/>
        <v/>
      </c>
      <c r="F20" s="6" t="str">
        <f>IF(IF(OR(I19="",I19=0),"",IF(ROUND(MIN($V$2*3,$B$36-SUM($J$6:$J19)),0)&lt;0,0,ROUND(MIN($V$2*3,$B$36-SUM($J$6:$J19)),0)))&gt;0,IF(OR(I19="",I19=0),"",IF(ROUND(MIN($V$2*3,$B$36-SUM($J$6:$J19)),0)&lt;0,0,ROUND(MIN($V$2*3,$B$36-SUM($J$6:$J19)),0))),0)</f>
        <v/>
      </c>
      <c r="G20" s="6" t="str">
        <f>IF(IF(OR(F20="",F20=0),"",IF(ROUND(MIN($V$2*3,$B$36-SUM($J$6:$J19)-SUM($F20:F20)),0)&lt;0,0,ROUND(MIN($V$2*3,$B$36-SUM($J$6:$J19)-SUM($F20:F20)),0)))&gt;0,IF(OR(F20="",F20=0),"",IF(ROUND(MIN($V$2*3,$B$36-SUM($J$6:$J19)-SUM($F20:F20)),0)&lt;0,0,ROUND(MIN($V$2*3,$B$36-SUM($J$6:$J19)-SUM($F20:F20)),0))),0)</f>
        <v/>
      </c>
      <c r="H20" s="6" t="str">
        <f>IF(IF(OR(G20="",G20=0),"",IF(ROUND(MIN($V$2*3,$B$36-SUM($J$6:$J19)-SUM($F20:G20)),0)&lt;0,0,ROUND(MIN($V$2*3,$B$36-SUM($J$6:$J19)-SUM($F20:G20)),0)))&gt;0,IF(OR(G20="",G20=0),"",IF(ROUND(MIN($V$2*3,$B$36-SUM($J$6:$J19)-SUM($F20:G20)),0)&lt;0,0,ROUND(MIN($V$2*3,$B$36-SUM($J$6:$J19)-SUM($F20:G20)),0))),0)</f>
        <v/>
      </c>
      <c r="I20" s="6" t="str">
        <f>IF(IF(OR(H20="",H20=0),"",IF(ROUND(MIN($V$2*3,$B$36-SUM($J$6:$J19)-SUM($F20:H20)),0)&lt;0,0,ROUND(MIN($V$2*3,$B$36-SUM($J$6:$J19)-SUM($F20:H20)),0)))&gt;0,IF(OR(H20="",H20=0),"",IF(ROUND(MIN($V$2*3,$B$36-SUM($J$6:$J19)-SUM($F20:H20)),0)&lt;0,0,ROUND(MIN($V$2*3,$B$36-SUM($J$6:$J19)-SUM($F20:H20)),0))),0)</f>
        <v/>
      </c>
      <c r="J20" s="7" t="str">
        <f t="shared" si="1"/>
        <v/>
      </c>
      <c r="L20" s="18">
        <v>18</v>
      </c>
      <c r="M20" s="19">
        <v>2</v>
      </c>
      <c r="N20" s="19">
        <v>18</v>
      </c>
      <c r="O20" s="20">
        <v>1</v>
      </c>
      <c r="R20" s="5">
        <v>18</v>
      </c>
      <c r="S20" s="21" t="e">
        <f t="shared" si="0"/>
        <v>#VALUE!</v>
      </c>
      <c r="U20" s="1" t="s">
        <v>50</v>
      </c>
    </row>
    <row r="21" spans="1:34" ht="12" customHeight="1" x14ac:dyDescent="0.25">
      <c r="A21" s="73" t="s">
        <v>30</v>
      </c>
      <c r="B21" s="79"/>
      <c r="C21" s="74"/>
      <c r="E21" s="5" t="str">
        <f t="shared" si="2"/>
        <v/>
      </c>
      <c r="F21" s="6" t="str">
        <f>IF(IF(OR(I20="",I20=0),"",IF(ROUND(MIN($V$2*3,$B$36-SUM($J$6:$J20)),0)&lt;0,0,ROUND(MIN($V$2*3,$B$36-SUM($J$6:$J20)),0)))&gt;0,IF(OR(I20="",I20=0),"",IF(ROUND(MIN($V$2*3,$B$36-SUM($J$6:$J20)),0)&lt;0,0,ROUND(MIN($V$2*3,$B$36-SUM($J$6:$J20)),0))),0)</f>
        <v/>
      </c>
      <c r="G21" s="6" t="str">
        <f>IF(IF(OR(F21="",F21=0),"",IF(ROUND(MIN($V$2*3,$B$36-SUM($J$6:$J20)-SUM($F21:F21)),0)&lt;0,0,ROUND(MIN($V$2*3,$B$36-SUM($J$6:$J20)-SUM($F21:F21)),0)))&gt;0,IF(OR(F21="",F21=0),"",IF(ROUND(MIN($V$2*3,$B$36-SUM($J$6:$J20)-SUM($F21:F21)),0)&lt;0,0,ROUND(MIN($V$2*3,$B$36-SUM($J$6:$J20)-SUM($F21:F21)),0))),0)</f>
        <v/>
      </c>
      <c r="H21" s="6" t="str">
        <f>IF(IF(OR(G21="",G21=0),"",IF(ROUND(MIN($V$2*3,$B$36-SUM($J$6:$J20)-SUM($F21:G21)),0)&lt;0,0,ROUND(MIN($V$2*3,$B$36-SUM($J$6:$J20)-SUM($F21:G21)),0)))&gt;0,IF(OR(G21="",G21=0),"",IF(ROUND(MIN($V$2*3,$B$36-SUM($J$6:$J20)-SUM($F21:G21)),0)&lt;0,0,ROUND(MIN($V$2*3,$B$36-SUM($J$6:$J20)-SUM($F21:G21)),0))),0)</f>
        <v/>
      </c>
      <c r="I21" s="6" t="str">
        <f>IF(IF(OR(H21="",H21=0),"",IF(ROUND(MIN($V$2*3,$B$36-SUM($J$6:$J20)-SUM($F21:H21)),0)&lt;0,0,ROUND(MIN($V$2*3,$B$36-SUM($J$6:$J20)-SUM($F21:H21)),0)))&gt;0,IF(OR(H21="",H21=0),"",IF(ROUND(MIN($V$2*3,$B$36-SUM($J$6:$J20)-SUM($F21:H21)),0)&lt;0,0,ROUND(MIN($V$2*3,$B$36-SUM($J$6:$J20)-SUM($F21:H21)),0))),0)</f>
        <v/>
      </c>
      <c r="J21" s="7" t="str">
        <f t="shared" si="1"/>
        <v/>
      </c>
      <c r="L21" s="18">
        <v>19</v>
      </c>
      <c r="M21" s="19">
        <v>3</v>
      </c>
      <c r="N21" s="19">
        <v>19</v>
      </c>
      <c r="O21" s="20">
        <v>3</v>
      </c>
      <c r="R21" s="5">
        <v>19</v>
      </c>
      <c r="S21" s="21" t="e">
        <f t="shared" si="0"/>
        <v>#VALUE!</v>
      </c>
      <c r="U21" s="104" t="s">
        <v>0</v>
      </c>
      <c r="V21" s="34" t="str">
        <f>IF(ISERROR(IF(B18&gt;V22,YEAR(V22)+2,YEAR(V22)+1)),"Please enter the correct relevant period",IF(B18&gt;V22,YEAR(V22)+2,YEAR(V22)+1))</f>
        <v>Please enter the correct relevant period</v>
      </c>
    </row>
    <row r="22" spans="1:34" ht="12" customHeight="1" thickBot="1" x14ac:dyDescent="0.3">
      <c r="A22" s="73" t="s">
        <v>28</v>
      </c>
      <c r="B22" s="79"/>
      <c r="C22" s="74"/>
      <c r="E22" s="5" t="str">
        <f t="shared" si="2"/>
        <v/>
      </c>
      <c r="F22" s="6" t="str">
        <f>IF(IF(OR(I21="",I21=0),"",IF(ROUND(MIN($V$2*3,$B$36-SUM($J$6:$J21)),0)&lt;0,0,ROUND(MIN($V$2*3,$B$36-SUM($J$6:$J21)),0)))&gt;0,IF(OR(I21="",I21=0),"",IF(ROUND(MIN($V$2*3,$B$36-SUM($J$6:$J21)),0)&lt;0,0,ROUND(MIN($V$2*3,$B$36-SUM($J$6:$J21)),0))),0)</f>
        <v/>
      </c>
      <c r="G22" s="6" t="str">
        <f>IF(IF(OR(F22="",F22=0),"",IF(ROUND(MIN($V$2*3,$B$36-SUM($J$6:$J21)-SUM($F22:F22)),0)&lt;0,0,ROUND(MIN($V$2*3,$B$36-SUM($J$6:$J21)-SUM($F22:F22)),0)))&gt;0,IF(OR(F22="",F22=0),"",IF(ROUND(MIN($V$2*3,$B$36-SUM($J$6:$J21)-SUM($F22:F22)),0)&lt;0,0,ROUND(MIN($V$2*3,$B$36-SUM($J$6:$J21)-SUM($F22:F22)),0))),0)</f>
        <v/>
      </c>
      <c r="H22" s="6" t="str">
        <f>IF(IF(OR(G22="",G22=0),"",IF(ROUND(MIN($V$2*3,$B$36-SUM($J$6:$J21)-SUM($F22:G22)),0)&lt;0,0,ROUND(MIN($V$2*3,$B$36-SUM($J$6:$J21)-SUM($F22:G22)),0)))&gt;0,IF(OR(G22="",G22=0),"",IF(ROUND(MIN($V$2*3,$B$36-SUM($J$6:$J21)-SUM($F22:G22)),0)&lt;0,0,ROUND(MIN($V$2*3,$B$36-SUM($J$6:$J21)-SUM($F22:G22)),0))),0)</f>
        <v/>
      </c>
      <c r="I22" s="6" t="str">
        <f>IF(IF(OR(H22="",H22=0),"",IF(ROUND(MIN($V$2*3,$B$36-SUM($J$6:$J21)-SUM($F22:H22)),0)&lt;0,0,ROUND(MIN($V$2*3,$B$36-SUM($J$6:$J21)-SUM($F22:H22)),0)))&gt;0,IF(OR(H22="",H22=0),"",IF(ROUND(MIN($V$2*3,$B$36-SUM($J$6:$J21)-SUM($F22:H22)),0)&lt;0,0,ROUND(MIN($V$2*3,$B$36-SUM($J$6:$J21)-SUM($F22:H22)),0))),0)</f>
        <v/>
      </c>
      <c r="J22" s="7" t="str">
        <f t="shared" si="1"/>
        <v/>
      </c>
      <c r="L22" s="18">
        <v>20</v>
      </c>
      <c r="M22" s="19">
        <v>3</v>
      </c>
      <c r="N22" s="19">
        <v>20</v>
      </c>
      <c r="O22" s="20">
        <v>2</v>
      </c>
      <c r="R22" s="5">
        <v>20</v>
      </c>
      <c r="S22" s="21" t="e">
        <f t="shared" si="0"/>
        <v>#VALUE!</v>
      </c>
      <c r="U22" s="28" t="s">
        <v>9</v>
      </c>
      <c r="V22" s="103" t="e">
        <f>DATE(YEAR($B$18),MONTH($B$13),DAY($B$13))</f>
        <v>#VALUE!</v>
      </c>
    </row>
    <row r="23" spans="1:34" ht="12" customHeight="1" x14ac:dyDescent="0.25">
      <c r="A23" s="73" t="s">
        <v>29</v>
      </c>
      <c r="B23" s="79"/>
      <c r="C23" s="74"/>
      <c r="E23" s="5" t="str">
        <f t="shared" si="2"/>
        <v/>
      </c>
      <c r="F23" s="6" t="str">
        <f>IF(IF(OR(I22="",I22=0),"",IF(ROUND(MIN($V$2*3,$B$36-SUM($J$6:$J22)),0)&lt;0,0,ROUND(MIN($V$2*3,$B$36-SUM($J$6:$J22)),0)))&gt;0,IF(OR(I22="",I22=0),"",IF(ROUND(MIN($V$2*3,$B$36-SUM($J$6:$J22)),0)&lt;0,0,ROUND(MIN($V$2*3,$B$36-SUM($J$6:$J22)),0))),0)</f>
        <v/>
      </c>
      <c r="G23" s="6" t="str">
        <f>IF(IF(OR(F23="",F23=0),"",IF(ROUND(MIN($V$2*3,$B$36-SUM($J$6:$J22)-SUM($F23:F23)),0)&lt;0,0,ROUND(MIN($V$2*3,$B$36-SUM($J$6:$J22)-SUM($F23:F23)),0)))&gt;0,IF(OR(F23="",F23=0),"",IF(ROUND(MIN($V$2*3,$B$36-SUM($J$6:$J22)-SUM($F23:F23)),0)&lt;0,0,ROUND(MIN($V$2*3,$B$36-SUM($J$6:$J22)-SUM($F23:F23)),0))),0)</f>
        <v/>
      </c>
      <c r="H23" s="6" t="str">
        <f>IF(IF(OR(G23="",G23=0),"",IF(ROUND(MIN($V$2*3,$B$36-SUM($J$6:$J22)-SUM($F23:G23)),0)&lt;0,0,ROUND(MIN($V$2*3,$B$36-SUM($J$6:$J22)-SUM($F23:G23)),0)))&gt;0,IF(OR(G23="",G23=0),"",IF(ROUND(MIN($V$2*3,$B$36-SUM($J$6:$J22)-SUM($F23:G23)),0)&lt;0,0,ROUND(MIN($V$2*3,$B$36-SUM($J$6:$J22)-SUM($F23:G23)),0))),0)</f>
        <v/>
      </c>
      <c r="I23" s="6" t="str">
        <f>IF(IF(OR(H23="",H23=0),"",IF(ROUND(MIN($V$2*3,$B$36-SUM($J$6:$J22)-SUM($F23:H23)),0)&lt;0,0,ROUND(MIN($V$2*3,$B$36-SUM($J$6:$J22)-SUM($F23:H23)),0)))&gt;0,IF(OR(H23="",H23=0),"",IF(ROUND(MIN($V$2*3,$B$36-SUM($J$6:$J22)-SUM($F23:H23)),0)&lt;0,0,ROUND(MIN($V$2*3,$B$36-SUM($J$6:$J22)-SUM($F23:H23)),0))),0)</f>
        <v/>
      </c>
      <c r="J23" s="7" t="str">
        <f t="shared" si="1"/>
        <v/>
      </c>
      <c r="L23" s="18">
        <v>21</v>
      </c>
      <c r="M23" s="19">
        <v>3</v>
      </c>
      <c r="N23" s="19">
        <v>21</v>
      </c>
      <c r="O23" s="20">
        <v>1</v>
      </c>
      <c r="R23" s="5">
        <v>21</v>
      </c>
      <c r="S23" s="21" t="e">
        <f t="shared" si="0"/>
        <v>#VALUE!</v>
      </c>
    </row>
    <row r="24" spans="1:34" ht="12" customHeight="1" thickBot="1" x14ac:dyDescent="0.3">
      <c r="A24" s="73"/>
      <c r="B24" s="58"/>
      <c r="C24" s="74"/>
      <c r="E24" s="5" t="str">
        <f t="shared" si="2"/>
        <v/>
      </c>
      <c r="F24" s="6" t="str">
        <f>IF(IF(OR(I23="",I23=0),"",IF(ROUND(MIN($V$2*3,$B$36-SUM($J$6:$J23)),0)&lt;0,0,ROUND(MIN($V$2*3,$B$36-SUM($J$6:$J23)),0)))&gt;0,IF(OR(I23="",I23=0),"",IF(ROUND(MIN($V$2*3,$B$36-SUM($J$6:$J23)),0)&lt;0,0,ROUND(MIN($V$2*3,$B$36-SUM($J$6:$J23)),0))),0)</f>
        <v/>
      </c>
      <c r="G24" s="6" t="str">
        <f>IF(IF(OR(F24="",F24=0),"",IF(ROUND(MIN($V$2*3,$B$36-SUM($J$6:$J23)-SUM($F24:F24)),0)&lt;0,0,ROUND(MIN($V$2*3,$B$36-SUM($J$6:$J23)-SUM($F24:F24)),0)))&gt;0,IF(OR(F24="",F24=0),"",IF(ROUND(MIN($V$2*3,$B$36-SUM($J$6:$J23)-SUM($F24:F24)),0)&lt;0,0,ROUND(MIN($V$2*3,$B$36-SUM($J$6:$J23)-SUM($F24:F24)),0))),0)</f>
        <v/>
      </c>
      <c r="H24" s="6" t="str">
        <f>IF(IF(OR(G24="",G24=0),"",IF(ROUND(MIN($V$2*3,$B$36-SUM($J$6:$J23)-SUM($F24:G24)),0)&lt;0,0,ROUND(MIN($V$2*3,$B$36-SUM($J$6:$J23)-SUM($F24:G24)),0)))&gt;0,IF(OR(G24="",G24=0),"",IF(ROUND(MIN($V$2*3,$B$36-SUM($J$6:$J23)-SUM($F24:G24)),0)&lt;0,0,ROUND(MIN($V$2*3,$B$36-SUM($J$6:$J23)-SUM($F24:G24)),0))),0)</f>
        <v/>
      </c>
      <c r="I24" s="6" t="str">
        <f>IF(IF(OR(H24="",H24=0),"",IF(ROUND(MIN($V$2*3,$B$36-SUM($J$6:$J23)-SUM($F24:H24)),0)&lt;0,0,ROUND(MIN($V$2*3,$B$36-SUM($J$6:$J23)-SUM($F24:H24)),0)))&gt;0,IF(OR(H24="",H24=0),"",IF(ROUND(MIN($V$2*3,$B$36-SUM($J$6:$J23)-SUM($F24:H24)),0)&lt;0,0,ROUND(MIN($V$2*3,$B$36-SUM($J$6:$J23)-SUM($F24:H24)),0))),0)</f>
        <v/>
      </c>
      <c r="J24" s="7" t="str">
        <f t="shared" si="1"/>
        <v/>
      </c>
      <c r="L24" s="18">
        <v>22</v>
      </c>
      <c r="M24" s="19">
        <v>4</v>
      </c>
      <c r="N24" s="19">
        <v>22</v>
      </c>
      <c r="O24" s="20">
        <v>3</v>
      </c>
      <c r="R24" s="5">
        <v>22</v>
      </c>
      <c r="S24" s="21" t="e">
        <f t="shared" si="0"/>
        <v>#VALUE!</v>
      </c>
      <c r="U24" s="31"/>
      <c r="W24" s="137" t="s">
        <v>10</v>
      </c>
      <c r="X24" s="137"/>
      <c r="Y24" s="137"/>
      <c r="Z24" s="137"/>
    </row>
    <row r="25" spans="1:34" x14ac:dyDescent="0.25">
      <c r="A25" s="73" t="s">
        <v>25</v>
      </c>
      <c r="B25" s="80"/>
      <c r="C25" s="74"/>
      <c r="E25" s="5" t="str">
        <f t="shared" si="2"/>
        <v/>
      </c>
      <c r="F25" s="6" t="str">
        <f>IF(IF(OR(I24="",I24=0),"",IF(ROUND(MIN($V$2*3,$B$36-SUM($J$6:$J24)),0)&lt;0,0,ROUND(MIN($V$2*3,$B$36-SUM($J$6:$J24)),0)))&gt;0,IF(OR(I24="",I24=0),"",IF(ROUND(MIN($V$2*3,$B$36-SUM($J$6:$J24)),0)&lt;0,0,ROUND(MIN($V$2*3,$B$36-SUM($J$6:$J24)),0))),0)</f>
        <v/>
      </c>
      <c r="G25" s="6" t="str">
        <f>IF(IF(OR(F25="",F25=0),"",IF(ROUND(MIN($V$2*3,$B$36-SUM($J$6:$J24)-SUM($F25:F25)),0)&lt;0,0,ROUND(MIN($V$2*3,$B$36-SUM($J$6:$J24)-SUM($F25:F25)),0)))&gt;0,IF(OR(F25="",F25=0),"",IF(ROUND(MIN($V$2*3,$B$36-SUM($J$6:$J24)-SUM($F25:F25)),0)&lt;0,0,ROUND(MIN($V$2*3,$B$36-SUM($J$6:$J24)-SUM($F25:F25)),0))),0)</f>
        <v/>
      </c>
      <c r="H25" s="6" t="str">
        <f>IF(IF(OR(G25="",G25=0),"",IF(ROUND(MIN($V$2*3,$B$36-SUM($J$6:$J24)-SUM($F25:G25)),0)&lt;0,0,ROUND(MIN($V$2*3,$B$36-SUM($J$6:$J24)-SUM($F25:G25)),0)))&gt;0,IF(OR(G25="",G25=0),"",IF(ROUND(MIN($V$2*3,$B$36-SUM($J$6:$J24)-SUM($F25:G25)),0)&lt;0,0,ROUND(MIN($V$2*3,$B$36-SUM($J$6:$J24)-SUM($F25:G25)),0))),0)</f>
        <v/>
      </c>
      <c r="I25" s="6" t="str">
        <f>IF(IF(OR(H25="",H25=0),"",IF(ROUND(MIN($V$2*3,$B$36-SUM($J$6:$J24)-SUM($F25:H25)),0)&lt;0,0,ROUND(MIN($V$2*3,$B$36-SUM($J$6:$J24)-SUM($F25:H25)),0)))&gt;0,IF(OR(H25="",H25=0),"",IF(ROUND(MIN($V$2*3,$B$36-SUM($J$6:$J24)-SUM($F25:H25)),0)&lt;0,0,ROUND(MIN($V$2*3,$B$36-SUM($J$6:$J24)-SUM($F25:H25)),0))),0)</f>
        <v/>
      </c>
      <c r="J25" s="7" t="str">
        <f t="shared" si="1"/>
        <v/>
      </c>
      <c r="L25" s="18">
        <v>23</v>
      </c>
      <c r="M25" s="19">
        <v>4</v>
      </c>
      <c r="N25" s="19">
        <v>23</v>
      </c>
      <c r="O25" s="20">
        <v>2</v>
      </c>
      <c r="R25" s="5">
        <v>23</v>
      </c>
      <c r="S25" s="21" t="e">
        <f t="shared" si="0"/>
        <v>#VALUE!</v>
      </c>
      <c r="U25" s="138" t="s">
        <v>2</v>
      </c>
      <c r="V25" s="32"/>
      <c r="W25" s="33">
        <v>2</v>
      </c>
      <c r="X25" s="33">
        <v>5</v>
      </c>
      <c r="Y25" s="33">
        <v>8</v>
      </c>
      <c r="Z25" s="34">
        <v>11</v>
      </c>
    </row>
    <row r="26" spans="1:34" ht="13.8" thickBot="1" x14ac:dyDescent="0.3">
      <c r="A26" s="73" t="s">
        <v>31</v>
      </c>
      <c r="B26" s="81"/>
      <c r="C26" s="74"/>
      <c r="E26" s="5" t="str">
        <f t="shared" si="2"/>
        <v/>
      </c>
      <c r="F26" s="6" t="str">
        <f>IF(IF(OR(I25="",I25=0),"",IF(ROUND(MIN($V$2*3,$B$36-SUM($J$6:$J25)),0)&lt;0,0,ROUND(MIN($V$2*3,$B$36-SUM($J$6:$J25)),0)))&gt;0,IF(OR(I25="",I25=0),"",IF(ROUND(MIN($V$2*3,$B$36-SUM($J$6:$J25)),0)&lt;0,0,ROUND(MIN($V$2*3,$B$36-SUM($J$6:$J25)),0))),0)</f>
        <v/>
      </c>
      <c r="G26" s="6" t="str">
        <f>IF(IF(OR(F26="",F26=0),"",IF(ROUND(MIN($V$2*3,$B$36-SUM($J$6:$J25)-SUM($F26:F26)),0)&lt;0,0,ROUND(MIN($V$2*3,$B$36-SUM($J$6:$J25)-SUM($F26:F26)),0)))&gt;0,IF(OR(F26="",F26=0),"",IF(ROUND(MIN($V$2*3,$B$36-SUM($J$6:$J25)-SUM($F26:F26)),0)&lt;0,0,ROUND(MIN($V$2*3,$B$36-SUM($J$6:$J25)-SUM($F26:F26)),0))),0)</f>
        <v/>
      </c>
      <c r="H26" s="6" t="str">
        <f>IF(IF(OR(G26="",G26=0),"",IF(ROUND(MIN($V$2*3,$B$36-SUM($J$6:$J25)-SUM($F26:G26)),0)&lt;0,0,ROUND(MIN($V$2*3,$B$36-SUM($J$6:$J25)-SUM($F26:G26)),0)))&gt;0,IF(OR(G26="",G26=0),"",IF(ROUND(MIN($V$2*3,$B$36-SUM($J$6:$J25)-SUM($F26:G26)),0)&lt;0,0,ROUND(MIN($V$2*3,$B$36-SUM($J$6:$J25)-SUM($F26:G26)),0))),0)</f>
        <v/>
      </c>
      <c r="I26" s="6" t="str">
        <f>IF(IF(OR(H26="",H26=0),"",IF(ROUND(MIN($V$2*3,$B$36-SUM($J$6:$J25)-SUM($F26:H26)),0)&lt;0,0,ROUND(MIN($V$2*3,$B$36-SUM($J$6:$J25)-SUM($F26:H26)),0)))&gt;0,IF(OR(H26="",H26=0),"",IF(ROUND(MIN($V$2*3,$B$36-SUM($J$6:$J25)-SUM($F26:H26)),0)&lt;0,0,ROUND(MIN($V$2*3,$B$36-SUM($J$6:$J25)-SUM($F26:H26)),0))),0)</f>
        <v/>
      </c>
      <c r="J26" s="7" t="str">
        <f t="shared" si="1"/>
        <v/>
      </c>
      <c r="L26" s="46">
        <v>24</v>
      </c>
      <c r="M26" s="47">
        <v>4</v>
      </c>
      <c r="N26" s="47">
        <v>24</v>
      </c>
      <c r="O26" s="48">
        <v>1</v>
      </c>
      <c r="R26" s="5">
        <v>24</v>
      </c>
      <c r="S26" s="21" t="e">
        <f t="shared" si="0"/>
        <v>#VALUE!</v>
      </c>
      <c r="U26" s="138"/>
      <c r="V26" s="5" t="e">
        <f>TEXT(MONTH(DATE(2013,MONTH(B13)+1,1)),0)</f>
        <v>#VALUE!</v>
      </c>
      <c r="W26" s="35">
        <f>IF(INDEX($F$6:$I$35,MATCH($B$45,$E$6:$E$35,0),1)="",0,INDEX($F$6:$I$35,MATCH($B$45,$E$6:$E$35,0),1))</f>
        <v>0</v>
      </c>
      <c r="X26" s="35">
        <f>IF(INDEX($F$6:$I$35,MATCH($B$45,$E$6:$E$35,0),1)="",0,INDEX($F$6:$I$35,MATCH($B$45,$E$6:$E$35,0),1))+IF(INDEX($F$6:$I$35,MATCH($B$45,$E$6:$E$35,0),2)="",0,INDEX($F$6:$I$35,MATCH($B$45,$E$6:$E$35,0),2))</f>
        <v>0</v>
      </c>
      <c r="Y26" s="126">
        <f>IF(INDEX($F$6:$I$35,MATCH($B$45,$E$6:$E$35,0),1)="",0,INDEX($F$6:$I$35,MATCH($B$45,$E$6:$E$35,0),1))+IF(INDEX($F$6:$I$35,MATCH($B$45,$E$6:$E$35,0),2)="",0,INDEX($F$6:$I$35,MATCH($B$45,$E$6:$E$35,0),2))+IF(INDEX($F$6:$I$35,MATCH($B$45,$E$6:$E$35,0),3)="",0,INDEX($F$6:$I$35,MATCH($B$45,$E$6:$E$35,0),3))</f>
        <v>0</v>
      </c>
      <c r="Z26" s="36">
        <f>IF(INDEX($F$6:$I$35,MATCH($B$45,$E$6:$E$35,0),1)="",0,INDEX($F$6:$I$35,MATCH($B$45,$E$6:$E$35,0),1))+IF(INDEX($F$6:$I$35,MATCH($B$45,$E$6:$E$35,0),2)="",0,INDEX($F$6:$I$35,MATCH($B$45,$E$6:$E$35,0),2))+IF(INDEX($F$6:$I$35,MATCH($B$45,$E$6:$E$35,0),3)="",0,INDEX($F$6:$I$35,MATCH($B$45,$E$6:$E$35,0),3))+IF(INDEX($F$6:$I$35,MATCH($B$45,$E$6:$E$35,0),4)="",0,INDEX($F$6:$I$35,MATCH($B$45,$E$6:$E$35,0),4))</f>
        <v>0</v>
      </c>
    </row>
    <row r="27" spans="1:34" ht="13.8" thickBot="1" x14ac:dyDescent="0.3">
      <c r="A27" s="73" t="s">
        <v>33</v>
      </c>
      <c r="B27" s="82">
        <f>SUM(B25:B26)</f>
        <v>0</v>
      </c>
      <c r="C27" s="74"/>
      <c r="E27" s="5" t="str">
        <f t="shared" si="2"/>
        <v/>
      </c>
      <c r="F27" s="6" t="str">
        <f>IF(IF(OR(I26="",I26=0),"",IF(ROUND(MIN($V$2*3,$B$36-SUM($J$6:$J26)),0)&lt;0,0,ROUND(MIN($V$2*3,$B$36-SUM($J$6:$J26)),0)))&gt;0,IF(OR(I26="",I26=0),"",IF(ROUND(MIN($V$2*3,$B$36-SUM($J$6:$J26)),0)&lt;0,0,ROUND(MIN($V$2*3,$B$36-SUM($J$6:$J26)),0))),0)</f>
        <v/>
      </c>
      <c r="G27" s="6" t="str">
        <f>IF(IF(OR(F27="",F27=0),"",IF(ROUND(MIN($V$2*3,$B$36-SUM($J$6:$J26)-SUM($F27:F27)),0)&lt;0,0,ROUND(MIN($V$2*3,$B$36-SUM($J$6:$J26)-SUM($F27:F27)),0)))&gt;0,IF(OR(F27="",F27=0),"",IF(ROUND(MIN($V$2*3,$B$36-SUM($J$6:$J26)-SUM($F27:F27)),0)&lt;0,0,ROUND(MIN($V$2*3,$B$36-SUM($J$6:$J26)-SUM($F27:F27)),0))),0)</f>
        <v/>
      </c>
      <c r="H27" s="6" t="str">
        <f>IF(IF(OR(G27="",G27=0),"",IF(ROUND(MIN($V$2*3,$B$36-SUM($J$6:$J26)-SUM($F27:G27)),0)&lt;0,0,ROUND(MIN($V$2*3,$B$36-SUM($J$6:$J26)-SUM($F27:G27)),0)))&gt;0,IF(OR(G27="",G27=0),"",IF(ROUND(MIN($V$2*3,$B$36-SUM($J$6:$J26)-SUM($F27:G27)),0)&lt;0,0,ROUND(MIN($V$2*3,$B$36-SUM($J$6:$J26)-SUM($F27:G27)),0))),0)</f>
        <v/>
      </c>
      <c r="I27" s="6" t="str">
        <f>IF(IF(OR(H27="",H27=0),"",IF(ROUND(MIN($V$2*3,$B$36-SUM($J$6:$J26)-SUM($F27:H27)),0)&lt;0,0,ROUND(MIN($V$2*3,$B$36-SUM($J$6:$J26)-SUM($F27:H27)),0)))&gt;0,IF(OR(H27="",H27=0),"",IF(ROUND(MIN($V$2*3,$B$36-SUM($J$6:$J26)-SUM($F27:H27)),0)&lt;0,0,ROUND(MIN($V$2*3,$B$36-SUM($J$6:$J26)-SUM($F27:H27)),0))),0)</f>
        <v/>
      </c>
      <c r="J27" s="7" t="str">
        <f t="shared" si="1"/>
        <v/>
      </c>
      <c r="R27" s="5">
        <v>25</v>
      </c>
      <c r="S27" s="21" t="e">
        <f t="shared" si="0"/>
        <v>#VALUE!</v>
      </c>
      <c r="U27" s="138"/>
      <c r="V27" s="5" t="e">
        <f>TEXT(MONTH(DATE(2013,MONTH(B13)+4,1)),0)</f>
        <v>#VALUE!</v>
      </c>
      <c r="W27" s="35">
        <f>IF(INDEX($F$6:$I$35,MATCH($B$45,$E$6:$E$35,0),2)="",0,INDEX($F$6:$I$35,MATCH($B$45,$E$6:$E$35,0),2))</f>
        <v>0</v>
      </c>
      <c r="X27" s="35">
        <f>IF(INDEX($F$6:$I$35,MATCH($B$45,$E$6:$E$35,0),2)="",0,INDEX($F$6:$I$35,MATCH($B$45,$E$6:$E$35,0),2))+IF(INDEX($F$6:$I$35,MATCH($B$45,$E$6:$E$35,0),3)="",0,INDEX($F$6:$I$35,MATCH($B$45,$E$6:$E$35,0),3))</f>
        <v>0</v>
      </c>
      <c r="Y27" s="35">
        <f>IF(INDEX($F$6:$I$35,MATCH($B$45,$E$6:$E$35,0),2)="",0,INDEX($F$6:$I$35,MATCH($B$45,$E$6:$E$35,0),2))+IF(INDEX($F$6:$I$35,MATCH($B$45,$E$6:$E$35,0),3)="",0,INDEX($F$6:$I$35,MATCH($B$45,$E$6:$E$35,0),3))+IF(INDEX($F$6:$I$35,MATCH($B$45,$E$6:$E$35,0),4)="",0,INDEX($F$6:$I$35,MATCH($B$45,$E$6:$E$35,0),4))</f>
        <v>0</v>
      </c>
      <c r="Z27" s="37" t="s">
        <v>8</v>
      </c>
    </row>
    <row r="28" spans="1:34" x14ac:dyDescent="0.25">
      <c r="A28" s="73"/>
      <c r="B28" s="58"/>
      <c r="C28" s="74"/>
      <c r="E28" s="5" t="str">
        <f t="shared" si="2"/>
        <v/>
      </c>
      <c r="F28" s="6" t="str">
        <f>IF(IF(OR(I27="",I27=0),"",IF(ROUND(MIN($V$2*3,$B$36-SUM($J$6:$J27)),0)&lt;0,0,ROUND(MIN($V$2*3,$B$36-SUM($J$6:$J27)),0)))&gt;0,IF(OR(I27="",I27=0),"",IF(ROUND(MIN($V$2*3,$B$36-SUM($J$6:$J27)),0)&lt;0,0,ROUND(MIN($V$2*3,$B$36-SUM($J$6:$J27)),0))),0)</f>
        <v/>
      </c>
      <c r="G28" s="6" t="str">
        <f>IF(IF(OR(F28="",F28=0),"",IF(ROUND(MIN($V$2*3,$B$36-SUM($J$6:$J27)-SUM($F28:F28)),0)&lt;0,0,ROUND(MIN($V$2*3,$B$36-SUM($J$6:$J27)-SUM($F28:F28)),0)))&gt;0,IF(OR(F28="",F28=0),"",IF(ROUND(MIN($V$2*3,$B$36-SUM($J$6:$J27)-SUM($F28:F28)),0)&lt;0,0,ROUND(MIN($V$2*3,$B$36-SUM($J$6:$J27)-SUM($F28:F28)),0))),0)</f>
        <v/>
      </c>
      <c r="H28" s="6" t="str">
        <f>IF(IF(OR(G28="",G28=0),"",IF(ROUND(MIN($V$2*3,$B$36-SUM($J$6:$J27)-SUM($F28:G28)),0)&lt;0,0,ROUND(MIN($V$2*3,$B$36-SUM($J$6:$J27)-SUM($F28:G28)),0)))&gt;0,IF(OR(G28="",G28=0),"",IF(ROUND(MIN($V$2*3,$B$36-SUM($J$6:$J27)-SUM($F28:G28)),0)&lt;0,0,ROUND(MIN($V$2*3,$B$36-SUM($J$6:$J27)-SUM($F28:G28)),0))),0)</f>
        <v/>
      </c>
      <c r="I28" s="6" t="str">
        <f>IF(IF(OR(H28="",H28=0),"",IF(ROUND(MIN($V$2*3,$B$36-SUM($J$6:$J27)-SUM($F28:H28)),0)&lt;0,0,ROUND(MIN($V$2*3,$B$36-SUM($J$6:$J27)-SUM($F28:H28)),0)))&gt;0,IF(OR(H28="",H28=0),"",IF(ROUND(MIN($V$2*3,$B$36-SUM($J$6:$J27)-SUM($F28:H28)),0)&lt;0,0,ROUND(MIN($V$2*3,$B$36-SUM($J$6:$J27)-SUM($F28:H28)),0))),0)</f>
        <v/>
      </c>
      <c r="J28" s="7" t="str">
        <f t="shared" si="1"/>
        <v/>
      </c>
      <c r="L28" s="16" t="s">
        <v>2</v>
      </c>
      <c r="M28" s="49">
        <v>1</v>
      </c>
      <c r="N28" s="49">
        <v>2</v>
      </c>
      <c r="O28" s="49">
        <v>3</v>
      </c>
      <c r="P28" s="26">
        <v>4</v>
      </c>
      <c r="Q28" s="50"/>
      <c r="R28" s="5">
        <v>26</v>
      </c>
      <c r="S28" s="21" t="e">
        <f t="shared" si="0"/>
        <v>#VALUE!</v>
      </c>
      <c r="U28" s="138"/>
      <c r="V28" s="5" t="e">
        <f>TEXT(MONTH(DATE(2013,MONTH(B13)+7,1)),0)</f>
        <v>#VALUE!</v>
      </c>
      <c r="W28" s="35">
        <f>IF(INDEX($F$6:$I$35,MATCH($B$45,$E$6:$E$35,0),3)="",0,INDEX($F$6:$I$35,MATCH($B$45,$E$6:$E$35,0),3))</f>
        <v>0</v>
      </c>
      <c r="X28" s="35">
        <f>IF(INDEX($F$6:$I$35,MATCH($B$45,$E$6:$E$35,0),3)="",0,INDEX($F$6:$I$35,MATCH($B$45,$E$6:$E$35,0),3))+IF(INDEX($F$6:$I$35,MATCH($B$45,$E$6:$E$35,0),4)="",0,INDEX($F$6:$I$35,MATCH($B$45,$E$6:$E$35,0),4))</f>
        <v>0</v>
      </c>
      <c r="Y28" s="38" t="s">
        <v>8</v>
      </c>
      <c r="Z28" s="37" t="s">
        <v>8</v>
      </c>
    </row>
    <row r="29" spans="1:34" ht="12" customHeight="1" thickBot="1" x14ac:dyDescent="0.3">
      <c r="A29" s="73" t="s">
        <v>32</v>
      </c>
      <c r="B29" s="80"/>
      <c r="C29" s="74"/>
      <c r="E29" s="5" t="str">
        <f t="shared" si="2"/>
        <v/>
      </c>
      <c r="F29" s="6" t="str">
        <f>IF(IF(OR(I28="",I28=0),"",IF(ROUND(MIN($V$2*3,$B$36-SUM($J$6:$J28)),0)&lt;0,0,ROUND(MIN($V$2*3,$B$36-SUM($J$6:$J28)),0)))&gt;0,IF(OR(I28="",I28=0),"",IF(ROUND(MIN($V$2*3,$B$36-SUM($J$6:$J28)),0)&lt;0,0,ROUND(MIN($V$2*3,$B$36-SUM($J$6:$J28)),0))),0)</f>
        <v/>
      </c>
      <c r="G29" s="6" t="str">
        <f>IF(IF(OR(F29="",F29=0),"",IF(ROUND(MIN($V$2*3,$B$36-SUM($J$6:$J28)-SUM($F29:F29)),0)&lt;0,0,ROUND(MIN($V$2*3,$B$36-SUM($J$6:$J28)-SUM($F29:F29)),0)))&gt;0,IF(OR(F29="",F29=0),"",IF(ROUND(MIN($V$2*3,$B$36-SUM($J$6:$J28)-SUM($F29:F29)),0)&lt;0,0,ROUND(MIN($V$2*3,$B$36-SUM($J$6:$J28)-SUM($F29:F29)),0))),0)</f>
        <v/>
      </c>
      <c r="H29" s="6" t="str">
        <f>IF(IF(OR(G29="",G29=0),"",IF(ROUND(MIN($V$2*3,$B$36-SUM($J$6:$J28)-SUM($F29:G29)),0)&lt;0,0,ROUND(MIN($V$2*3,$B$36-SUM($J$6:$J28)-SUM($F29:G29)),0)))&gt;0,IF(OR(G29="",G29=0),"",IF(ROUND(MIN($V$2*3,$B$36-SUM($J$6:$J28)-SUM($F29:G29)),0)&lt;0,0,ROUND(MIN($V$2*3,$B$36-SUM($J$6:$J28)-SUM($F29:G29)),0))),0)</f>
        <v/>
      </c>
      <c r="I29" s="6" t="str">
        <f>IF(IF(OR(H29="",H29=0),"",IF(ROUND(MIN($V$2*3,$B$36-SUM($J$6:$J28)-SUM($F29:H29)),0)&lt;0,0,ROUND(MIN($V$2*3,$B$36-SUM($J$6:$J28)-SUM($F29:H29)),0)))&gt;0,IF(OR(H29="",H29=0),"",IF(ROUND(MIN($V$2*3,$B$36-SUM($J$6:$J28)-SUM($F29:H29)),0)&lt;0,0,ROUND(MIN($V$2*3,$B$36-SUM($J$6:$J28)-SUM($F29:H29)),0))),0)</f>
        <v/>
      </c>
      <c r="J29" s="7" t="str">
        <f t="shared" si="1"/>
        <v/>
      </c>
      <c r="L29" s="24" t="s">
        <v>5</v>
      </c>
      <c r="M29" s="51" t="e">
        <f>IF($V$8&lt;&gt;M28,"",LOOKUP($V$7,$N$3:$N$26,$O$3:$O$26))</f>
        <v>#VALUE!</v>
      </c>
      <c r="N29" s="51" t="e">
        <f>IF($V$8&lt;&gt;N28,"",LOOKUP($V$7,$N$3:$N$26,$O$3:$O$26))</f>
        <v>#VALUE!</v>
      </c>
      <c r="O29" s="51" t="e">
        <f>IF($V$8&lt;&gt;O28,"",LOOKUP($V$7,$N$3:$N$26,$O$3:$O$26))</f>
        <v>#VALUE!</v>
      </c>
      <c r="P29" s="52" t="e">
        <f>IF($V$8&lt;&gt;P28,"",LOOKUP($V$7,$N$3:$N$26,$O$3:$O$26))</f>
        <v>#VALUE!</v>
      </c>
      <c r="Q29" s="27"/>
      <c r="R29" s="5">
        <v>27</v>
      </c>
      <c r="S29" s="21" t="e">
        <f t="shared" si="0"/>
        <v>#VALUE!</v>
      </c>
      <c r="U29" s="138"/>
      <c r="V29" s="10" t="e">
        <f>TEXT(MONTH(DATE(2013,MONTH(B13)+10,1)),0)</f>
        <v>#VALUE!</v>
      </c>
      <c r="W29" s="39">
        <f>IF(INDEX($F$6:$I$35,MATCH($B$45,$E$6:$E$35,0),4)="",0,INDEX($F$6:$I$35,MATCH($B$45,$E$6:$E$35,0),4))</f>
        <v>0</v>
      </c>
      <c r="X29" s="40" t="s">
        <v>8</v>
      </c>
      <c r="Y29" s="40" t="s">
        <v>8</v>
      </c>
      <c r="Z29" s="41" t="s">
        <v>8</v>
      </c>
    </row>
    <row r="30" spans="1:34" ht="12" customHeight="1" thickBot="1" x14ac:dyDescent="0.3">
      <c r="A30" s="73" t="s">
        <v>18</v>
      </c>
      <c r="B30" s="79"/>
      <c r="C30" s="74"/>
      <c r="E30" s="5" t="str">
        <f t="shared" si="2"/>
        <v/>
      </c>
      <c r="F30" s="6" t="str">
        <f>IF(IF(OR(I29="",I29=0),"",IF(ROUND(MIN($V$2*3,$B$36-SUM($J$6:$J29)),0)&lt;0,0,ROUND(MIN($V$2*3,$B$36-SUM($J$6:$J29)),0)))&gt;0,IF(OR(I29="",I29=0),"",IF(ROUND(MIN($V$2*3,$B$36-SUM($J$6:$J29)),0)&lt;0,0,ROUND(MIN($V$2*3,$B$36-SUM($J$6:$J29)),0))),0)</f>
        <v/>
      </c>
      <c r="G30" s="6" t="str">
        <f>IF(IF(OR(F30="",F30=0),"",IF(ROUND(MIN($V$2*3,$B$36-SUM($J$6:$J29)-SUM($F30:F30)),0)&lt;0,0,ROUND(MIN($V$2*3,$B$36-SUM($J$6:$J29)-SUM($F30:F30)),0)))&gt;0,IF(OR(F30="",F30=0),"",IF(ROUND(MIN($V$2*3,$B$36-SUM($J$6:$J29)-SUM($F30:F30)),0)&lt;0,0,ROUND(MIN($V$2*3,$B$36-SUM($J$6:$J29)-SUM($F30:F30)),0))),0)</f>
        <v/>
      </c>
      <c r="H30" s="6" t="str">
        <f>IF(IF(OR(G30="",G30=0),"",IF(ROUND(MIN($V$2*3,$B$36-SUM($J$6:$J29)-SUM($F30:G30)),0)&lt;0,0,ROUND(MIN($V$2*3,$B$36-SUM($J$6:$J29)-SUM($F30:G30)),0)))&gt;0,IF(OR(G30="",G30=0),"",IF(ROUND(MIN($V$2*3,$B$36-SUM($J$6:$J29)-SUM($F30:G30)),0)&lt;0,0,ROUND(MIN($V$2*3,$B$36-SUM($J$6:$J29)-SUM($F30:G30)),0))),0)</f>
        <v/>
      </c>
      <c r="I30" s="6" t="str">
        <f>IF(IF(OR(H30="",H30=0),"",IF(ROUND(MIN($V$2*3,$B$36-SUM($J$6:$J29)-SUM($F30:H30)),0)&lt;0,0,ROUND(MIN($V$2*3,$B$36-SUM($J$6:$J29)-SUM($F30:H30)),0)))&gt;0,IF(OR(H30="",H30=0),"",IF(ROUND(MIN($V$2*3,$B$36-SUM($J$6:$J29)-SUM($F30:H30)),0)&lt;0,0,ROUND(MIN($V$2*3,$B$36-SUM($J$6:$J29)-SUM($F30:H30)),0))),0)</f>
        <v/>
      </c>
      <c r="J30" s="7" t="str">
        <f t="shared" si="1"/>
        <v/>
      </c>
      <c r="R30" s="5">
        <v>28</v>
      </c>
      <c r="S30" s="21" t="e">
        <f t="shared" si="0"/>
        <v>#VALUE!</v>
      </c>
    </row>
    <row r="31" spans="1:34" x14ac:dyDescent="0.25">
      <c r="A31" s="73"/>
      <c r="B31" s="58"/>
      <c r="C31" s="74"/>
      <c r="E31" s="5" t="str">
        <f t="shared" si="2"/>
        <v/>
      </c>
      <c r="F31" s="6" t="str">
        <f>IF(IF(OR(I30="",I30=0),"",IF(ROUND(MIN($V$2*3,$B$36-SUM($J$6:$J30)),0)&lt;0,0,ROUND(MIN($V$2*3,$B$36-SUM($J$6:$J30)),0)))&gt;0,IF(OR(I30="",I30=0),"",IF(ROUND(MIN($V$2*3,$B$36-SUM($J$6:$J30)),0)&lt;0,0,ROUND(MIN($V$2*3,$B$36-SUM($J$6:$J30)),0))),0)</f>
        <v/>
      </c>
      <c r="G31" s="6" t="str">
        <f>IF(IF(OR(F31="",F31=0),"",IF(ROUND(MIN($V$2*3,$B$36-SUM($J$6:$J30)-SUM($F31:F31)),0)&lt;0,0,ROUND(MIN($V$2*3,$B$36-SUM($J$6:$J30)-SUM($F31:F31)),0)))&gt;0,IF(OR(F31="",F31=0),"",IF(ROUND(MIN($V$2*3,$B$36-SUM($J$6:$J30)-SUM($F31:F31)),0)&lt;0,0,ROUND(MIN($V$2*3,$B$36-SUM($J$6:$J30)-SUM($F31:F31)),0))),0)</f>
        <v/>
      </c>
      <c r="H31" s="6" t="str">
        <f>IF(IF(OR(G31="",G31=0),"",IF(ROUND(MIN($V$2*3,$B$36-SUM($J$6:$J30)-SUM($F31:G31)),0)&lt;0,0,ROUND(MIN($V$2*3,$B$36-SUM($J$6:$J30)-SUM($F31:G31)),0)))&gt;0,IF(OR(G31="",G31=0),"",IF(ROUND(MIN($V$2*3,$B$36-SUM($J$6:$J30)-SUM($F31:G31)),0)&lt;0,0,ROUND(MIN($V$2*3,$B$36-SUM($J$6:$J30)-SUM($F31:G31)),0))),0)</f>
        <v/>
      </c>
      <c r="I31" s="6" t="str">
        <f>IF(IF(OR(H31="",H31=0),"",IF(ROUND(MIN($V$2*3,$B$36-SUM($J$6:$J30)-SUM($F31:H31)),0)&lt;0,0,ROUND(MIN($V$2*3,$B$36-SUM($J$6:$J30)-SUM($F31:H31)),0)))&gt;0,IF(OR(H31="",H31=0),"",IF(ROUND(MIN($V$2*3,$B$36-SUM($J$6:$J30)-SUM($F31:H31)),0)&lt;0,0,ROUND(MIN($V$2*3,$B$36-SUM($J$6:$J30)-SUM($F31:H31)),0))),0)</f>
        <v/>
      </c>
      <c r="J31" s="7" t="str">
        <f t="shared" si="1"/>
        <v/>
      </c>
      <c r="R31" s="5">
        <v>29</v>
      </c>
      <c r="S31" s="21" t="e">
        <f t="shared" si="0"/>
        <v>#VALUE!</v>
      </c>
      <c r="V31" s="32"/>
      <c r="W31" s="42">
        <v>41305</v>
      </c>
      <c r="X31" s="42">
        <v>41333</v>
      </c>
      <c r="Y31" s="42">
        <v>41364</v>
      </c>
      <c r="Z31" s="42">
        <v>41394</v>
      </c>
      <c r="AA31" s="42">
        <v>41425</v>
      </c>
      <c r="AB31" s="42">
        <v>41455</v>
      </c>
      <c r="AC31" s="42">
        <v>41486</v>
      </c>
      <c r="AD31" s="42">
        <v>41517</v>
      </c>
      <c r="AE31" s="42">
        <v>41547</v>
      </c>
      <c r="AF31" s="42">
        <v>41578</v>
      </c>
      <c r="AG31" s="42">
        <v>41608</v>
      </c>
      <c r="AH31" s="43">
        <v>41639</v>
      </c>
    </row>
    <row r="32" spans="1:34" x14ac:dyDescent="0.25">
      <c r="A32" s="1" t="s">
        <v>91</v>
      </c>
      <c r="B32" s="81"/>
      <c r="C32" s="74"/>
      <c r="E32" s="5" t="str">
        <f t="shared" si="2"/>
        <v/>
      </c>
      <c r="F32" s="6" t="str">
        <f>IF(IF(OR(I31="",I31=0),"",IF(ROUND(MIN($V$2*3,$B$36-SUM($J$6:$J31)),0)&lt;0,0,ROUND(MIN($V$2*3,$B$36-SUM($J$6:$J31)),0)))&gt;0,IF(OR(I31="",I31=0),"",IF(ROUND(MIN($V$2*3,$B$36-SUM($J$6:$J31)),0)&lt;0,0,ROUND(MIN($V$2*3,$B$36-SUM($J$6:$J31)),0))),0)</f>
        <v/>
      </c>
      <c r="G32" s="6" t="str">
        <f>IF(IF(OR(F32="",F32=0),"",IF(ROUND(MIN($V$2*3,$B$36-SUM($J$6:$J31)-SUM($F32:F32)),0)&lt;0,0,ROUND(MIN($V$2*3,$B$36-SUM($J$6:$J31)-SUM($F32:F32)),0)))&gt;0,IF(OR(F32="",F32=0),"",IF(ROUND(MIN($V$2*3,$B$36-SUM($J$6:$J31)-SUM($F32:F32)),0)&lt;0,0,ROUND(MIN($V$2*3,$B$36-SUM($J$6:$J31)-SUM($F32:F32)),0))),0)</f>
        <v/>
      </c>
      <c r="H32" s="6" t="str">
        <f>IF(IF(OR(G32="",G32=0),"",IF(ROUND(MIN($V$2*3,$B$36-SUM($J$6:$J31)-SUM($F32:G32)),0)&lt;0,0,ROUND(MIN($V$2*3,$B$36-SUM($J$6:$J31)-SUM($F32:G32)),0)))&gt;0,IF(OR(G32="",G32=0),"",IF(ROUND(MIN($V$2*3,$B$36-SUM($J$6:$J31)-SUM($F32:G32)),0)&lt;0,0,ROUND(MIN($V$2*3,$B$36-SUM($J$6:$J31)-SUM($F32:G32)),0))),0)</f>
        <v/>
      </c>
      <c r="I32" s="6" t="str">
        <f>IF(IF(OR(H32="",H32=0),"",IF(ROUND(MIN($V$2*3,$B$36-SUM($J$6:$J31)-SUM($F32:H32)),0)&lt;0,0,ROUND(MIN($V$2*3,$B$36-SUM($J$6:$J31)-SUM($F32:H32)),0)))&gt;0,IF(OR(H32="",H32=0),"",IF(ROUND(MIN($V$2*3,$B$36-SUM($J$6:$J31)-SUM($F32:H32)),0)&lt;0,0,ROUND(MIN($V$2*3,$B$36-SUM($J$6:$J31)-SUM($F32:H32)),0))),0)</f>
        <v/>
      </c>
      <c r="J32" s="7" t="str">
        <f t="shared" si="1"/>
        <v/>
      </c>
      <c r="R32" s="5">
        <v>30</v>
      </c>
      <c r="S32" s="21" t="e">
        <f t="shared" si="0"/>
        <v>#VALUE!</v>
      </c>
      <c r="V32" s="44">
        <v>1</v>
      </c>
      <c r="W32" s="38">
        <v>1</v>
      </c>
      <c r="X32" s="38">
        <v>1</v>
      </c>
      <c r="Y32" s="38">
        <v>1</v>
      </c>
      <c r="Z32" s="38">
        <v>1</v>
      </c>
      <c r="AA32" s="38">
        <v>1</v>
      </c>
      <c r="AB32" s="38">
        <v>1</v>
      </c>
      <c r="AC32" s="38">
        <v>1</v>
      </c>
      <c r="AD32" s="38">
        <v>1</v>
      </c>
      <c r="AE32" s="38">
        <v>1</v>
      </c>
      <c r="AF32" s="38">
        <v>1</v>
      </c>
      <c r="AG32" s="38">
        <v>1</v>
      </c>
      <c r="AH32" s="37">
        <v>1</v>
      </c>
    </row>
    <row r="33" spans="1:34" ht="13.8" thickBot="1" x14ac:dyDescent="0.3">
      <c r="A33" s="73" t="s">
        <v>19</v>
      </c>
      <c r="B33" s="109">
        <f>'HP Equipment 1'!B33</f>
        <v>0</v>
      </c>
      <c r="C33" s="74"/>
      <c r="E33" s="5" t="str">
        <f t="shared" si="2"/>
        <v/>
      </c>
      <c r="F33" s="6" t="str">
        <f>IF(IF(OR(I32="",I32=0),"",IF(ROUND(MIN($V$2*3,$B$36-SUM($J$6:$J32)),0)&lt;0,0,ROUND(MIN($V$2*3,$B$36-SUM($J$6:$J32)),0)))&gt;0,IF(OR(I32="",I32=0),"",IF(ROUND(MIN($V$2*3,$B$36-SUM($J$6:$J32)),0)&lt;0,0,ROUND(MIN($V$2*3,$B$36-SUM($J$6:$J32)),0))),0)</f>
        <v/>
      </c>
      <c r="G33" s="6" t="str">
        <f>IF(IF(OR(F33="",F33=0),"",IF(ROUND(MIN($V$2*3,$B$36-SUM($J$6:$J32)-SUM($F33:F33)),0)&lt;0,0,ROUND(MIN($V$2*3,$B$36-SUM($J$6:$J32)-SUM($F33:F33)),0)))&gt;0,IF(OR(F33="",F33=0),"",IF(ROUND(MIN($V$2*3,$B$36-SUM($J$6:$J32)-SUM($F33:F33)),0)&lt;0,0,ROUND(MIN($V$2*3,$B$36-SUM($J$6:$J32)-SUM($F33:F33)),0))),0)</f>
        <v/>
      </c>
      <c r="H33" s="6" t="str">
        <f>IF(IF(OR(G33="",G33=0),"",IF(ROUND(MIN($V$2*3,$B$36-SUM($J$6:$J32)-SUM($F33:G33)),0)&lt;0,0,ROUND(MIN($V$2*3,$B$36-SUM($J$6:$J32)-SUM($F33:G33)),0)))&gt;0,IF(OR(G33="",G33=0),"",IF(ROUND(MIN($V$2*3,$B$36-SUM($J$6:$J32)-SUM($F33:G33)),0)&lt;0,0,ROUND(MIN($V$2*3,$B$36-SUM($J$6:$J32)-SUM($F33:G33)),0))),0)</f>
        <v/>
      </c>
      <c r="I33" s="6" t="str">
        <f>IF(IF(OR(H33="",H33=0),"",IF(ROUND(MIN($V$2*3,$B$36-SUM($J$6:$J32)-SUM($F33:H33)),0)&lt;0,0,ROUND(MIN($V$2*3,$B$36-SUM($J$6:$J32)-SUM($F33:H33)),0)))&gt;0,IF(OR(H33="",H33=0),"",IF(ROUND(MIN($V$2*3,$B$36-SUM($J$6:$J32)-SUM($F33:H33)),0)&lt;0,0,ROUND(MIN($V$2*3,$B$36-SUM($J$6:$J32)-SUM($F33:H33)),0))),0)</f>
        <v/>
      </c>
      <c r="J33" s="7" t="str">
        <f t="shared" si="1"/>
        <v/>
      </c>
      <c r="R33" s="46">
        <v>31</v>
      </c>
      <c r="S33" s="48" t="e">
        <f t="shared" si="0"/>
        <v>#VALUE!</v>
      </c>
      <c r="V33" s="44">
        <v>2</v>
      </c>
      <c r="W33" s="38">
        <v>2</v>
      </c>
      <c r="X33" s="38">
        <v>1</v>
      </c>
      <c r="Y33" s="38">
        <v>1</v>
      </c>
      <c r="Z33" s="38">
        <v>1</v>
      </c>
      <c r="AA33" s="38">
        <v>1</v>
      </c>
      <c r="AB33" s="38">
        <v>1</v>
      </c>
      <c r="AC33" s="38">
        <v>1</v>
      </c>
      <c r="AD33" s="38">
        <v>1</v>
      </c>
      <c r="AE33" s="38">
        <v>1</v>
      </c>
      <c r="AF33" s="38">
        <v>1</v>
      </c>
      <c r="AG33" s="38">
        <v>1</v>
      </c>
      <c r="AH33" s="37">
        <v>1</v>
      </c>
    </row>
    <row r="34" spans="1:34" ht="13.8" thickBot="1" x14ac:dyDescent="0.3">
      <c r="A34" s="73" t="s">
        <v>37</v>
      </c>
      <c r="B34" s="83">
        <f>'HP Equipment 1'!B35+'HP Equipment 2'!B36+'HP Equipment 3'!B36+'HP Equipment 4'!B36</f>
        <v>0</v>
      </c>
      <c r="C34" s="74"/>
      <c r="E34" s="5" t="str">
        <f t="shared" si="2"/>
        <v/>
      </c>
      <c r="F34" s="6" t="str">
        <f>IF(IF(OR(I33="",I33=0),"",IF(ROUND(MIN($V$2*3,$B$36-SUM($J$6:$J33)),0)&lt;0,0,ROUND(MIN($V$2*3,$B$36-SUM($J$6:$J33)),0)))&gt;0,IF(OR(I33="",I33=0),"",IF(ROUND(MIN($V$2*3,$B$36-SUM($J$6:$J33)),0)&lt;0,0,ROUND(MIN($V$2*3,$B$36-SUM($J$6:$J33)),0))),0)</f>
        <v/>
      </c>
      <c r="G34" s="6" t="str">
        <f>IF(IF(OR(F34="",F34=0),"",IF(ROUND(MIN($V$2*3,$B$36-SUM($J$6:$J33)-SUM($F34:F34)),0)&lt;0,0,ROUND(MIN($V$2*3,$B$36-SUM($J$6:$J33)-SUM($F34:F34)),0)))&gt;0,IF(OR(F34="",F34=0),"",IF(ROUND(MIN($V$2*3,$B$36-SUM($J$6:$J33)-SUM($F34:F34)),0)&lt;0,0,ROUND(MIN($V$2*3,$B$36-SUM($J$6:$J33)-SUM($F34:F34)),0))),0)</f>
        <v/>
      </c>
      <c r="H34" s="6" t="str">
        <f>IF(IF(OR(G34="",G34=0),"",IF(ROUND(MIN($V$2*3,$B$36-SUM($J$6:$J33)-SUM($F34:G34)),0)&lt;0,0,ROUND(MIN($V$2*3,$B$36-SUM($J$6:$J33)-SUM($F34:G34)),0)))&gt;0,IF(OR(G34="",G34=0),"",IF(ROUND(MIN($V$2*3,$B$36-SUM($J$6:$J33)-SUM($F34:G34)),0)&lt;0,0,ROUND(MIN($V$2*3,$B$36-SUM($J$6:$J33)-SUM($F34:G34)),0))),0)</f>
        <v/>
      </c>
      <c r="I34" s="6" t="str">
        <f>IF(IF(OR(H34="",H34=0),"",IF(ROUND(MIN($V$2*3,$B$36-SUM($J$6:$J33)-SUM($F34:H34)),0)&lt;0,0,ROUND(MIN($V$2*3,$B$36-SUM($J$6:$J33)-SUM($F34:H34)),0)))&gt;0,IF(OR(H34="",H34=0),"",IF(ROUND(MIN($V$2*3,$B$36-SUM($J$6:$J33)-SUM($F34:H34)),0)&lt;0,0,ROUND(MIN($V$2*3,$B$36-SUM($J$6:$J33)-SUM($F34:H34)),0))),0)</f>
        <v/>
      </c>
      <c r="J34" s="7" t="str">
        <f t="shared" si="1"/>
        <v/>
      </c>
      <c r="V34" s="44">
        <v>3</v>
      </c>
      <c r="W34" s="38">
        <v>2</v>
      </c>
      <c r="X34" s="38">
        <v>2</v>
      </c>
      <c r="Y34" s="38">
        <v>1</v>
      </c>
      <c r="Z34" s="38">
        <v>1</v>
      </c>
      <c r="AA34" s="38">
        <v>1</v>
      </c>
      <c r="AB34" s="38">
        <v>1</v>
      </c>
      <c r="AC34" s="38">
        <v>1</v>
      </c>
      <c r="AD34" s="38">
        <v>1</v>
      </c>
      <c r="AE34" s="38">
        <v>1</v>
      </c>
      <c r="AF34" s="38">
        <v>1</v>
      </c>
      <c r="AG34" s="38">
        <v>1</v>
      </c>
      <c r="AH34" s="37">
        <v>1</v>
      </c>
    </row>
    <row r="35" spans="1:34" x14ac:dyDescent="0.25">
      <c r="C35" s="74"/>
      <c r="E35" s="5" t="str">
        <f t="shared" si="2"/>
        <v/>
      </c>
      <c r="F35" s="6" t="str">
        <f>IF(IF(OR(I34="",I34=0),"",IF(ROUND(MIN($V$2*3,$B$36-SUM($J$6:$J34)),0)&lt;0,0,ROUND(MIN($V$2*3,$B$36-SUM($J$6:$J34)),0)))&gt;0,IF(OR(I34="",I34=0),"",IF(ROUND(MIN($V$2*3,$B$36-SUM($J$6:$J34)),0)&lt;0,0,ROUND(MIN($V$2*3,$B$36-SUM($J$6:$J34)),0))),0)</f>
        <v/>
      </c>
      <c r="G35" s="6" t="str">
        <f>IF(IF(OR(F35="",F35=0),"",IF(ROUND(MIN($V$2*3,$B$36-SUM($J$6:$J34)-SUM($F35:F35)),0)&lt;0,0,ROUND(MIN($V$2*3,$B$36-SUM($J$6:$J34)-SUM($F35:F35)),0)))&gt;0,IF(OR(F35="",F35=0),"",IF(ROUND(MIN($V$2*3,$B$36-SUM($J$6:$J34)-SUM($F35:F35)),0)&lt;0,0,ROUND(MIN($V$2*3,$B$36-SUM($J$6:$J34)-SUM($F35:F35)),0))),0)</f>
        <v/>
      </c>
      <c r="H35" s="6" t="str">
        <f>IF(IF(OR(G35="",G35=0),"",IF(ROUND(MIN($V$2*3,$B$36-SUM($J$6:$J34)-SUM($F35:G35)),0)&lt;0,0,ROUND(MIN($V$2*3,$B$36-SUM($J$6:$J34)-SUM($F35:G35)),0)))&gt;0,IF(OR(G35="",G35=0),"",IF(ROUND(MIN($V$2*3,$B$36-SUM($J$6:$J34)-SUM($F35:G35)),0)&lt;0,0,ROUND(MIN($V$2*3,$B$36-SUM($J$6:$J34)-SUM($F35:G35)),0))),0)</f>
        <v/>
      </c>
      <c r="I35" s="6" t="str">
        <f>IF(IF(OR(H35="",H35=0),"",IF(ROUND(MIN($V$2*3,$B$36-SUM($J$6:$J34)-SUM($F35:H35)),0)&lt;0,0,ROUND(MIN($V$2*3,$B$36-SUM($J$6:$J34)-SUM($F35:H35)),0)))&gt;0,IF(OR(H35="",H35=0),"",IF(ROUND(MIN($V$2*3,$B$36-SUM($J$6:$J34)-SUM($F35:H35)),0)&lt;0,0,ROUND(MIN($V$2*3,$B$36-SUM($J$6:$J34)-SUM($F35:H35)),0))),0)</f>
        <v/>
      </c>
      <c r="J35" s="9" t="str">
        <f t="shared" si="1"/>
        <v/>
      </c>
      <c r="R35" s="100" t="s">
        <v>11</v>
      </c>
      <c r="V35" s="44">
        <v>4</v>
      </c>
      <c r="W35" s="38">
        <v>2</v>
      </c>
      <c r="X35" s="38">
        <v>2</v>
      </c>
      <c r="Y35" s="38">
        <v>2</v>
      </c>
      <c r="Z35" s="38">
        <v>1</v>
      </c>
      <c r="AA35" s="38">
        <v>1</v>
      </c>
      <c r="AB35" s="38">
        <v>1</v>
      </c>
      <c r="AC35" s="38">
        <v>1</v>
      </c>
      <c r="AD35" s="38">
        <v>1</v>
      </c>
      <c r="AE35" s="38">
        <v>1</v>
      </c>
      <c r="AF35" s="38">
        <v>1</v>
      </c>
      <c r="AG35" s="38">
        <v>1</v>
      </c>
      <c r="AH35" s="37">
        <v>1</v>
      </c>
    </row>
    <row r="36" spans="1:34" ht="13.8" thickBot="1" x14ac:dyDescent="0.3">
      <c r="A36" s="73" t="s">
        <v>45</v>
      </c>
      <c r="B36" s="108">
        <f>IF(MIN(IF(B14="Y",B25-B32,B27-B32),100000-B33-B34)&lt;0,0,MIN(IF(B14="Y",B25-B32,B27-B32),100000-B33-B34))</f>
        <v>0</v>
      </c>
      <c r="C36" s="74"/>
      <c r="E36" s="10" t="str">
        <f t="shared" si="2"/>
        <v/>
      </c>
      <c r="F36" s="125" t="str">
        <f>IF(IF(OR(I35="",I35=0),"",IF(ROUND(MIN($V$2*3,$B$36-SUM($J$6:$J35)),0)&lt;0,0,ROUND(MIN($V$2*3,$B$36-SUM($J$6:$J35)),0)))&gt;0,IF(OR(I35="",I35=0),"",IF(ROUND(MIN($V$2*3,$B$36-SUM($J$6:$J35)),0)&lt;0,0,ROUND(MIN($V$2*3,$B$36-SUM($J$6:$J35)),0))),0)</f>
        <v/>
      </c>
      <c r="G36" s="125" t="str">
        <f>IF(IF(OR(F36="",F36=0),"",IF(ROUND(MIN($V$2*3,$B$36-SUM($J$6:$J35)-SUM($F36:F36)),0)&lt;0,0,ROUND(MIN($V$2*3,$B$36-SUM($J$6:$J35)-SUM($F36:F36)),0)))&gt;0,IF(OR(F36="",F36=0),"",IF(ROUND(MIN($V$2*3,$B$36-SUM($J$6:$J35)-SUM($F36:F36)),0)&lt;0,0,ROUND(MIN($V$2*3,$B$36-SUM($J$6:$J35)-SUM($F36:F36)),0))),0)</f>
        <v/>
      </c>
      <c r="H36" s="125" t="str">
        <f>IF(IF(OR(G36="",G36=0),"",IF(ROUND(MIN($V$2*3,$B$36-SUM($J$6:$J35)-SUM($F36:G36)),0)&lt;0,0,ROUND(MIN($V$2*3,$B$36-SUM($J$6:$J35)-SUM($F36:G36)),0)))&gt;0,IF(OR(G36="",G36=0),"",IF(ROUND(MIN($V$2*3,$B$36-SUM($J$6:$J35)-SUM($F36:G36)),0)&lt;0,0,ROUND(MIN($V$2*3,$B$36-SUM($J$6:$J35)-SUM($F36:G36)),0))),0)</f>
        <v/>
      </c>
      <c r="I36" s="125" t="str">
        <f>IF(IF(OR(H36="",H36=0),"",IF(ROUND(MIN($V$2*3,$B$36-SUM($J$6:$J35)-SUM($F36:H36)),0)&lt;0,0,ROUND(MIN($V$2*3,$B$36-SUM($J$6:$J35)-SUM($F36:H36)),0)))&gt;0,IF(OR(H36="",H36=0),"",IF(ROUND(MIN($V$2*3,$B$36-SUM($J$6:$J35)-SUM($F36:H36)),0)&lt;0,0,ROUND(MIN($V$2*3,$B$36-SUM($J$6:$J35)-SUM($F36:H36)),0))),0)</f>
        <v/>
      </c>
      <c r="J36" s="11" t="str">
        <f t="shared" si="1"/>
        <v/>
      </c>
      <c r="R36" s="101">
        <v>41305</v>
      </c>
      <c r="U36" s="45"/>
      <c r="V36" s="44">
        <v>5</v>
      </c>
      <c r="W36" s="38">
        <v>2</v>
      </c>
      <c r="X36" s="38">
        <v>2</v>
      </c>
      <c r="Y36" s="38">
        <v>2</v>
      </c>
      <c r="Z36" s="38">
        <v>2</v>
      </c>
      <c r="AA36" s="38">
        <v>1</v>
      </c>
      <c r="AB36" s="38">
        <v>1</v>
      </c>
      <c r="AC36" s="38">
        <v>1</v>
      </c>
      <c r="AD36" s="38">
        <v>1</v>
      </c>
      <c r="AE36" s="38">
        <v>1</v>
      </c>
      <c r="AF36" s="38">
        <v>1</v>
      </c>
      <c r="AG36" s="38">
        <v>1</v>
      </c>
      <c r="AH36" s="37">
        <v>1</v>
      </c>
    </row>
    <row r="37" spans="1:34" ht="13.8" thickBot="1" x14ac:dyDescent="0.3">
      <c r="A37" s="73"/>
      <c r="B37" s="58"/>
      <c r="C37" s="74"/>
      <c r="E37" s="12"/>
      <c r="F37" s="13"/>
      <c r="G37" s="13"/>
      <c r="H37" s="13"/>
      <c r="I37" s="14" t="s">
        <v>1</v>
      </c>
      <c r="J37" s="15">
        <f>SUM(J6:J35)</f>
        <v>0</v>
      </c>
      <c r="R37" s="101">
        <v>41333</v>
      </c>
      <c r="V37" s="44">
        <v>6</v>
      </c>
      <c r="W37" s="38">
        <v>2</v>
      </c>
      <c r="X37" s="38">
        <v>2</v>
      </c>
      <c r="Y37" s="38">
        <v>2</v>
      </c>
      <c r="Z37" s="38">
        <v>2</v>
      </c>
      <c r="AA37" s="38">
        <v>2</v>
      </c>
      <c r="AB37" s="38">
        <v>1</v>
      </c>
      <c r="AC37" s="38">
        <v>1</v>
      </c>
      <c r="AD37" s="38">
        <v>1</v>
      </c>
      <c r="AE37" s="38">
        <v>1</v>
      </c>
      <c r="AF37" s="38">
        <v>1</v>
      </c>
      <c r="AG37" s="38">
        <v>1</v>
      </c>
      <c r="AH37" s="37">
        <v>1</v>
      </c>
    </row>
    <row r="38" spans="1:34" ht="13.8" thickBot="1" x14ac:dyDescent="0.3">
      <c r="A38" s="70" t="s">
        <v>23</v>
      </c>
      <c r="B38" s="95"/>
      <c r="C38" s="72"/>
      <c r="E38" s="111" t="s">
        <v>66</v>
      </c>
      <c r="R38" s="101">
        <v>41364</v>
      </c>
      <c r="V38" s="44">
        <v>7</v>
      </c>
      <c r="W38" s="38">
        <v>2</v>
      </c>
      <c r="X38" s="38">
        <v>2</v>
      </c>
      <c r="Y38" s="38">
        <v>2</v>
      </c>
      <c r="Z38" s="38">
        <v>2</v>
      </c>
      <c r="AA38" s="38">
        <v>2</v>
      </c>
      <c r="AB38" s="38">
        <v>2</v>
      </c>
      <c r="AC38" s="38">
        <v>1</v>
      </c>
      <c r="AD38" s="38">
        <v>1</v>
      </c>
      <c r="AE38" s="38">
        <v>1</v>
      </c>
      <c r="AF38" s="38">
        <v>1</v>
      </c>
      <c r="AG38" s="38">
        <v>1</v>
      </c>
      <c r="AH38" s="37">
        <v>1</v>
      </c>
    </row>
    <row r="39" spans="1:34" ht="12" customHeight="1" x14ac:dyDescent="0.25">
      <c r="A39" s="84"/>
      <c r="B39" s="58"/>
      <c r="C39" s="74"/>
      <c r="E39" s="63"/>
      <c r="F39" s="57"/>
      <c r="G39" s="57"/>
      <c r="H39" s="57"/>
      <c r="I39" s="57"/>
      <c r="J39" s="57"/>
      <c r="R39" s="101">
        <v>41394</v>
      </c>
      <c r="V39" s="44">
        <v>8</v>
      </c>
      <c r="W39" s="38">
        <v>2</v>
      </c>
      <c r="X39" s="38">
        <v>2</v>
      </c>
      <c r="Y39" s="38">
        <v>2</v>
      </c>
      <c r="Z39" s="38">
        <v>2</v>
      </c>
      <c r="AA39" s="38">
        <v>2</v>
      </c>
      <c r="AB39" s="38">
        <v>2</v>
      </c>
      <c r="AC39" s="38">
        <v>2</v>
      </c>
      <c r="AD39" s="38">
        <v>1</v>
      </c>
      <c r="AE39" s="38">
        <v>1</v>
      </c>
      <c r="AF39" s="38">
        <v>1</v>
      </c>
      <c r="AG39" s="38">
        <v>1</v>
      </c>
      <c r="AH39" s="37">
        <v>1</v>
      </c>
    </row>
    <row r="40" spans="1:34" ht="12" customHeight="1" x14ac:dyDescent="0.25">
      <c r="A40" s="73" t="s">
        <v>42</v>
      </c>
      <c r="B40" s="58"/>
      <c r="C40" s="74"/>
      <c r="E40" s="57"/>
      <c r="F40" s="57"/>
      <c r="G40" s="57"/>
      <c r="H40" s="57"/>
      <c r="I40" s="57"/>
      <c r="J40" s="57"/>
      <c r="R40" s="101">
        <v>41425</v>
      </c>
      <c r="V40" s="44">
        <v>9</v>
      </c>
      <c r="W40" s="38">
        <v>2</v>
      </c>
      <c r="X40" s="38">
        <v>2</v>
      </c>
      <c r="Y40" s="38">
        <v>2</v>
      </c>
      <c r="Z40" s="38">
        <v>2</v>
      </c>
      <c r="AA40" s="38">
        <v>2</v>
      </c>
      <c r="AB40" s="38">
        <v>2</v>
      </c>
      <c r="AC40" s="38">
        <v>2</v>
      </c>
      <c r="AD40" s="38">
        <v>2</v>
      </c>
      <c r="AE40" s="38">
        <v>1</v>
      </c>
      <c r="AF40" s="38">
        <v>1</v>
      </c>
      <c r="AG40" s="38">
        <v>1</v>
      </c>
      <c r="AH40" s="37">
        <v>1</v>
      </c>
    </row>
    <row r="41" spans="1:34" ht="12" customHeight="1" x14ac:dyDescent="0.25">
      <c r="A41" s="88"/>
      <c r="B41" s="58"/>
      <c r="C41" s="74"/>
      <c r="E41" s="160"/>
      <c r="F41" s="59"/>
      <c r="G41" s="61"/>
      <c r="H41" s="58"/>
      <c r="I41" s="160"/>
      <c r="J41" s="27"/>
      <c r="R41" s="101">
        <v>41455</v>
      </c>
      <c r="V41" s="44">
        <v>10</v>
      </c>
      <c r="W41" s="38">
        <v>2</v>
      </c>
      <c r="X41" s="38">
        <v>2</v>
      </c>
      <c r="Y41" s="38">
        <v>2</v>
      </c>
      <c r="Z41" s="38">
        <v>2</v>
      </c>
      <c r="AA41" s="38">
        <v>2</v>
      </c>
      <c r="AB41" s="38">
        <v>2</v>
      </c>
      <c r="AC41" s="38">
        <v>2</v>
      </c>
      <c r="AD41" s="38">
        <v>2</v>
      </c>
      <c r="AE41" s="38">
        <v>2</v>
      </c>
      <c r="AF41" s="38">
        <v>1</v>
      </c>
      <c r="AG41" s="38">
        <v>1</v>
      </c>
      <c r="AH41" s="37">
        <v>1</v>
      </c>
    </row>
    <row r="42" spans="1:34" ht="12" customHeight="1" x14ac:dyDescent="0.25">
      <c r="A42" s="73" t="s">
        <v>21</v>
      </c>
      <c r="B42" s="85">
        <f>'HP Equipment 1'!B42</f>
        <v>0</v>
      </c>
      <c r="C42" s="74"/>
      <c r="E42" s="160"/>
      <c r="F42" s="58"/>
      <c r="G42" s="62"/>
      <c r="H42" s="58"/>
      <c r="I42" s="160"/>
      <c r="J42" s="62"/>
      <c r="R42" s="101">
        <v>41486</v>
      </c>
      <c r="V42" s="44">
        <v>11</v>
      </c>
      <c r="W42" s="38">
        <v>2</v>
      </c>
      <c r="X42" s="38">
        <v>2</v>
      </c>
      <c r="Y42" s="38">
        <v>2</v>
      </c>
      <c r="Z42" s="38">
        <v>2</v>
      </c>
      <c r="AA42" s="38">
        <v>2</v>
      </c>
      <c r="AB42" s="38">
        <v>2</v>
      </c>
      <c r="AC42" s="38">
        <v>2</v>
      </c>
      <c r="AD42" s="38">
        <v>2</v>
      </c>
      <c r="AE42" s="38">
        <v>2</v>
      </c>
      <c r="AF42" s="38">
        <v>2</v>
      </c>
      <c r="AG42" s="38">
        <v>1</v>
      </c>
      <c r="AH42" s="37">
        <v>1</v>
      </c>
    </row>
    <row r="43" spans="1:34" ht="12" customHeight="1" thickBot="1" x14ac:dyDescent="0.3">
      <c r="A43" s="73" t="s">
        <v>22</v>
      </c>
      <c r="B43" s="85">
        <f>'HP Equipment 1'!B43</f>
        <v>0</v>
      </c>
      <c r="C43" s="74"/>
      <c r="E43" s="60"/>
      <c r="F43" s="58"/>
      <c r="G43" s="58"/>
      <c r="H43" s="58"/>
      <c r="I43" s="58"/>
      <c r="J43" s="58"/>
      <c r="R43" s="101">
        <v>41517</v>
      </c>
      <c r="V43" s="53">
        <v>12</v>
      </c>
      <c r="W43" s="40">
        <v>2</v>
      </c>
      <c r="X43" s="40">
        <v>2</v>
      </c>
      <c r="Y43" s="40">
        <v>2</v>
      </c>
      <c r="Z43" s="40">
        <v>2</v>
      </c>
      <c r="AA43" s="40">
        <v>2</v>
      </c>
      <c r="AB43" s="40">
        <v>2</v>
      </c>
      <c r="AC43" s="40">
        <v>2</v>
      </c>
      <c r="AD43" s="40">
        <v>2</v>
      </c>
      <c r="AE43" s="40">
        <v>2</v>
      </c>
      <c r="AF43" s="40">
        <v>2</v>
      </c>
      <c r="AG43" s="40">
        <v>2</v>
      </c>
      <c r="AH43" s="41">
        <v>1</v>
      </c>
    </row>
    <row r="44" spans="1:34" ht="12" customHeight="1" x14ac:dyDescent="0.25">
      <c r="A44" s="73"/>
      <c r="B44" s="85"/>
      <c r="C44" s="74"/>
      <c r="E44" s="159"/>
      <c r="F44" s="159"/>
      <c r="G44" s="159"/>
      <c r="H44" s="159"/>
      <c r="I44" s="159"/>
      <c r="J44" s="159"/>
      <c r="R44" s="101">
        <v>41547</v>
      </c>
    </row>
    <row r="45" spans="1:34" ht="12" customHeight="1" x14ac:dyDescent="0.25">
      <c r="A45" s="86" t="s">
        <v>34</v>
      </c>
      <c r="B45" s="87" t="str">
        <f>'HP Equipment 1'!B45</f>
        <v/>
      </c>
      <c r="C45" s="74"/>
      <c r="E45" s="159"/>
      <c r="F45" s="159"/>
      <c r="G45" s="159"/>
      <c r="H45" s="159"/>
      <c r="I45" s="159"/>
      <c r="J45" s="159"/>
      <c r="R45" s="101">
        <v>41578</v>
      </c>
    </row>
    <row r="46" spans="1:34" ht="12" customHeight="1" thickBot="1" x14ac:dyDescent="0.3">
      <c r="A46" s="88"/>
      <c r="B46" s="87"/>
      <c r="C46" s="74"/>
      <c r="E46" s="159"/>
      <c r="F46" s="159"/>
      <c r="G46" s="159"/>
      <c r="H46" s="159"/>
      <c r="I46" s="159"/>
      <c r="J46" s="159"/>
      <c r="R46" s="101">
        <v>41608</v>
      </c>
    </row>
    <row r="47" spans="1:34" ht="12" customHeight="1" thickBot="1" x14ac:dyDescent="0.3">
      <c r="A47" s="88" t="s">
        <v>35</v>
      </c>
      <c r="B47" s="89" t="str">
        <f>IF(ISERROR(INDEX(W26:Z29,MATCH(TEXT(MONTH(B42),0),V26:V29,0),MATCH((YEAR(B43)-YEAR(B42))*12+MONTH(B43)-MONTH(B42),W25:Z25,0))),"Please enter the correct relevant period",INDEX(W26:Z29,MATCH(TEXT(MONTH(B42),0),V26:V29,0),MATCH((YEAR(B43)-YEAR(B42))*12+MONTH(B43)-MONTH(B42),W25:Z25,0)))</f>
        <v>Please enter the correct relevant period</v>
      </c>
      <c r="C47" s="74"/>
      <c r="E47" s="159"/>
      <c r="F47" s="159"/>
      <c r="G47" s="159"/>
      <c r="H47" s="159"/>
      <c r="I47" s="159"/>
      <c r="J47" s="159"/>
      <c r="R47" s="102">
        <v>41639</v>
      </c>
    </row>
    <row r="48" spans="1:34" ht="12" customHeight="1" x14ac:dyDescent="0.25">
      <c r="A48" s="73"/>
      <c r="B48" s="58" t="s">
        <v>24</v>
      </c>
      <c r="C48" s="74"/>
      <c r="R48" s="56"/>
    </row>
    <row r="49" spans="1:18" ht="12" customHeight="1" thickBot="1" x14ac:dyDescent="0.3">
      <c r="A49" s="90"/>
      <c r="B49" s="98"/>
      <c r="C49" s="91"/>
    </row>
    <row r="51" spans="1:18" x14ac:dyDescent="0.25">
      <c r="R51" s="56"/>
    </row>
  </sheetData>
  <sheetProtection algorithmName="SHA-512" hashValue="1kVDgNjBoeLVY6GTRuEviuQca1ibD3B0Rul+D9OQb2jZYB6Xc3afL1t53L/G9jOYlACWYWiebrwCL/Y9AUMXQQ==" saltValue="NlPOuZsKYqFYIp6k4UVXew==" spinCount="100000" sheet="1" objects="1" scenarios="1" selectLockedCells="1"/>
  <mergeCells count="14">
    <mergeCell ref="E41:E42"/>
    <mergeCell ref="I41:I42"/>
    <mergeCell ref="E44:J47"/>
    <mergeCell ref="L2:M2"/>
    <mergeCell ref="N2:O2"/>
    <mergeCell ref="R2:S2"/>
    <mergeCell ref="A1:C2"/>
    <mergeCell ref="E1:J2"/>
    <mergeCell ref="W24:Z24"/>
    <mergeCell ref="U25:U29"/>
    <mergeCell ref="A3:C9"/>
    <mergeCell ref="E4:E5"/>
    <mergeCell ref="F4:I4"/>
    <mergeCell ref="J4:J5"/>
  </mergeCells>
  <dataValidations count="5">
    <dataValidation type="date" allowBlank="1" showInputMessage="1" showErrorMessage="1" errorTitle="Error" error="Please enter a valid date in the format dd/mm/yyyy." sqref="B18:B19" xr:uid="{00000000-0002-0000-0600-000000000000}">
      <formula1>40575</formula1>
      <formula2>43100</formula2>
    </dataValidation>
    <dataValidation allowBlank="1" showInputMessage="1" showErrorMessage="1" promptTitle="Note" prompt="Enter the qualifying costs for all other activities claimed for the YA, including:_x000a__x000a_1) Automation equipment_x000a_2) In-house and external training_x000a_3) IPR acquisition and registration_x000a_4) R&amp;D_x000a_5) Approved design projects_x000a__x000a_(Exclude HP equipment for the YA)" sqref="B33" xr:uid="{00000000-0002-0000-0600-000001000000}"/>
    <dataValidation type="date" allowBlank="1" showInputMessage="1" showErrorMessage="1" errorTitle="Error" error="Please enter a valid date in the format dd/mm/yyyy." promptTitle="Note" prompt="Enter the relevant period as per your PIC Cash Payout application" sqref="B42:B44" xr:uid="{00000000-0002-0000-0600-000003000000}">
      <formula1>40575</formula1>
      <formula2>42369</formula2>
    </dataValidation>
    <dataValidation allowBlank="1" showInputMessage="1" showErrorMessage="1" promptTitle="Note" prompt="Cash purchase price as per invoice_x000a__x000a_This amount should not include the amount of:_x000a_- GST (to be entered in B9) _x000a_- Term Charges/ HP interest (to be entered in B12)" sqref="B25" xr:uid="{00000000-0002-0000-0600-000004000000}"/>
    <dataValidation allowBlank="1" showInputMessage="1" showErrorMessage="1" promptTitle="Note" prompt="Enter non-qualifying costs included in the cash purchase price (B8)." sqref="B32" xr:uid="{CD7C391C-F9A6-4630-9EC0-D172AFE801B8}"/>
  </dataValidations>
  <pageMargins left="0.74803149606299213" right="0.74803149606299213" top="0.98425196850393704" bottom="0.98425196850393704" header="0.51181102362204722" footer="0.51181102362204722"/>
  <pageSetup paperSize="9" scale="93" orientation="portrait"/>
  <colBreaks count="1" manualBreakCount="1">
    <brk id="1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Overview</vt:lpstr>
      <vt:lpstr>Specimen</vt:lpstr>
      <vt:lpstr>HP Equipment 1</vt:lpstr>
      <vt:lpstr>HP Equipment 2</vt:lpstr>
      <vt:lpstr>HP Equipment 3</vt:lpstr>
      <vt:lpstr>HP Equipment 4</vt:lpstr>
      <vt:lpstr>HP Equipment 5</vt:lpstr>
      <vt:lpstr>'HP Equipment 1'!Print_Area</vt:lpstr>
      <vt:lpstr>'HP Equipment 2'!Print_Area</vt:lpstr>
      <vt:lpstr>'HP Equipment 3'!Print_Area</vt:lpstr>
      <vt:lpstr>'HP Equipment 4'!Print_Area</vt:lpstr>
      <vt:lpstr>'HP Equipment 5'!Print_Area</vt:lpstr>
      <vt:lpstr>Overview!Print_Area</vt:lpstr>
      <vt:lpstr>Specimen!Print_Area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Cheong</dc:creator>
  <cp:lastModifiedBy>Wen Rong KIAN (IRAS)</cp:lastModifiedBy>
  <cp:lastPrinted>2016-05-11T03:43:11Z</cp:lastPrinted>
  <dcterms:created xsi:type="dcterms:W3CDTF">2013-10-04T14:41:24Z</dcterms:created>
  <dcterms:modified xsi:type="dcterms:W3CDTF">2023-10-17T05:42:43Z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2023-10-16T07:39:43Z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e196d498-30ce-4ac7-a068-118b92049716</vt:lpwstr>
  </property>
  <property fmtid="{D5CDD505-2E9C-101B-9397-08002B2CF9AE}" pid="8" name="MSIP_Label_5434c4c7-833e-41e4-b0ab-cdb227a2f6f7_ContentBits">
    <vt:lpwstr>0</vt:lpwstr>
  </property>
</Properties>
</file>